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Code\Interfax.SM.Web.Portal\Content\files\"/>
    </mc:Choice>
  </mc:AlternateContent>
  <xr:revisionPtr revIDLastSave="0" documentId="8_{311A3DF1-911C-4EA3-9D64-3EC0B8CCAA22}" xr6:coauthVersionLast="43" xr6:coauthVersionMax="43" xr10:uidLastSave="{00000000-0000-0000-0000-000000000000}"/>
  <bookViews>
    <workbookView xWindow="31560" yWindow="2235" windowWidth="21600" windowHeight="11190" tabRatio="779" activeTab="1"/>
  </bookViews>
  <sheets>
    <sheet name="Параметры поиска" sheetId="1" r:id="rId1"/>
    <sheet name="Результаты поиска" sheetId="13" r:id="rId2"/>
  </sheets>
  <definedNames>
    <definedName name="_xlnm._FilterDatabase" localSheetId="1" hidden="1">'Результаты поиска'!$B$2:$AH$2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08" i="13" l="1"/>
  <c r="V108" i="13"/>
  <c r="T108" i="13"/>
  <c r="P108" i="13"/>
  <c r="AH107" i="13"/>
  <c r="V107" i="13"/>
  <c r="T107" i="13"/>
  <c r="P107" i="13"/>
  <c r="AH106" i="13"/>
  <c r="V106" i="13"/>
  <c r="T106" i="13"/>
  <c r="P106" i="13"/>
  <c r="AH105" i="13"/>
  <c r="T105" i="13"/>
  <c r="P105" i="13"/>
  <c r="AH104" i="13"/>
  <c r="V104" i="13"/>
  <c r="T104" i="13"/>
  <c r="P104" i="13"/>
  <c r="AH103" i="13"/>
  <c r="V103" i="13"/>
  <c r="T103" i="13"/>
  <c r="P103" i="13"/>
  <c r="AH102" i="13"/>
  <c r="V102" i="13"/>
  <c r="T102" i="13"/>
  <c r="P102" i="13"/>
  <c r="AH101" i="13"/>
  <c r="V101" i="13"/>
  <c r="T101" i="13"/>
  <c r="P101" i="13"/>
  <c r="AH100" i="13"/>
  <c r="V100" i="13"/>
  <c r="T100" i="13"/>
  <c r="P100" i="13"/>
  <c r="AH99" i="13"/>
  <c r="V99" i="13"/>
  <c r="T99" i="13"/>
  <c r="P99" i="13"/>
  <c r="AH98" i="13"/>
  <c r="V98" i="13"/>
  <c r="T98" i="13"/>
  <c r="P98" i="13"/>
  <c r="AH97" i="13"/>
  <c r="V97" i="13"/>
  <c r="T97" i="13"/>
  <c r="P97" i="13"/>
  <c r="AH96" i="13"/>
  <c r="V96" i="13"/>
  <c r="T96" i="13"/>
  <c r="P96" i="13"/>
  <c r="AH95" i="13"/>
  <c r="V95" i="13"/>
  <c r="T95" i="13"/>
  <c r="P95" i="13"/>
  <c r="AH94" i="13"/>
  <c r="T94" i="13"/>
  <c r="P94" i="13"/>
  <c r="AH93" i="13"/>
  <c r="V93" i="13"/>
  <c r="T93" i="13"/>
  <c r="P93" i="13"/>
  <c r="AH92" i="13"/>
  <c r="V92" i="13"/>
  <c r="T92" i="13"/>
  <c r="P92" i="13"/>
  <c r="AH91" i="13"/>
  <c r="V91" i="13"/>
  <c r="T91" i="13"/>
  <c r="P91" i="13"/>
  <c r="AH90" i="13"/>
  <c r="V90" i="13"/>
  <c r="T90" i="13"/>
  <c r="P90" i="13"/>
  <c r="AH89" i="13"/>
  <c r="T89" i="13"/>
  <c r="P89" i="13"/>
  <c r="AH88" i="13"/>
  <c r="V88" i="13"/>
  <c r="T88" i="13"/>
  <c r="P88" i="13"/>
  <c r="AH87" i="13"/>
  <c r="V87" i="13"/>
  <c r="T87" i="13"/>
  <c r="P87" i="13"/>
  <c r="AH86" i="13"/>
  <c r="T86" i="13"/>
  <c r="P86" i="13"/>
  <c r="AH85" i="13"/>
  <c r="V85" i="13"/>
  <c r="T85" i="13"/>
  <c r="P85" i="13"/>
  <c r="AH84" i="13"/>
  <c r="V84" i="13"/>
  <c r="T84" i="13"/>
  <c r="P84" i="13"/>
  <c r="AH83" i="13"/>
  <c r="T83" i="13"/>
  <c r="P83" i="13"/>
  <c r="AH82" i="13"/>
  <c r="V82" i="13"/>
  <c r="T82" i="13"/>
  <c r="P82" i="13"/>
  <c r="AH81" i="13"/>
  <c r="V81" i="13"/>
  <c r="T81" i="13"/>
  <c r="P81" i="13"/>
  <c r="AH80" i="13"/>
  <c r="T80" i="13"/>
  <c r="P80" i="13"/>
  <c r="AH79" i="13"/>
  <c r="V79" i="13"/>
  <c r="T79" i="13"/>
  <c r="P79" i="13"/>
  <c r="AH78" i="13"/>
  <c r="V78" i="13"/>
  <c r="T78" i="13"/>
  <c r="P78" i="13"/>
  <c r="AH77" i="13"/>
  <c r="V77" i="13"/>
  <c r="T77" i="13"/>
  <c r="P77" i="13"/>
  <c r="AH76" i="13"/>
  <c r="V76" i="13"/>
  <c r="T76" i="13"/>
  <c r="P76" i="13"/>
  <c r="AH75" i="13"/>
  <c r="V75" i="13"/>
  <c r="T75" i="13"/>
  <c r="P75" i="13"/>
  <c r="AH74" i="13"/>
  <c r="V74" i="13"/>
  <c r="T74" i="13"/>
  <c r="P74" i="13"/>
  <c r="AH73" i="13"/>
  <c r="T73" i="13"/>
  <c r="P73" i="13"/>
  <c r="AH72" i="13"/>
  <c r="V72" i="13"/>
  <c r="T72" i="13"/>
  <c r="P72" i="13"/>
  <c r="AH71" i="13"/>
  <c r="V71" i="13"/>
  <c r="T71" i="13"/>
  <c r="P71" i="13"/>
  <c r="AH70" i="13"/>
  <c r="V70" i="13"/>
  <c r="T70" i="13"/>
  <c r="P70" i="13"/>
  <c r="AH69" i="13"/>
  <c r="V69" i="13"/>
  <c r="T69" i="13"/>
  <c r="P69" i="13"/>
  <c r="AH68" i="13"/>
  <c r="V68" i="13"/>
  <c r="T68" i="13"/>
  <c r="P68" i="13"/>
  <c r="AH67" i="13"/>
  <c r="V67" i="13"/>
  <c r="T67" i="13"/>
  <c r="P67" i="13"/>
  <c r="AH66" i="13"/>
  <c r="V66" i="13"/>
  <c r="T66" i="13"/>
  <c r="P66" i="13"/>
  <c r="AH65" i="13"/>
  <c r="V65" i="13"/>
  <c r="T65" i="13"/>
  <c r="P65" i="13"/>
  <c r="AH64" i="13"/>
  <c r="V64" i="13"/>
  <c r="T64" i="13"/>
  <c r="P64" i="13"/>
  <c r="AH63" i="13"/>
  <c r="T63" i="13"/>
  <c r="P63" i="13"/>
  <c r="AH62" i="13"/>
  <c r="V62" i="13"/>
  <c r="T62" i="13"/>
  <c r="P62" i="13"/>
  <c r="AH61" i="13"/>
  <c r="V61" i="13"/>
  <c r="T61" i="13"/>
  <c r="P61" i="13"/>
  <c r="AH60" i="13"/>
  <c r="T60" i="13"/>
  <c r="P60" i="13"/>
  <c r="AH59" i="13"/>
  <c r="V59" i="13"/>
  <c r="T59" i="13"/>
  <c r="P59" i="13"/>
  <c r="AH58" i="13"/>
  <c r="V58" i="13"/>
  <c r="T58" i="13"/>
  <c r="P58" i="13"/>
  <c r="AH57" i="13"/>
  <c r="V57" i="13"/>
  <c r="T57" i="13"/>
  <c r="P57" i="13"/>
  <c r="AH56" i="13"/>
  <c r="V56" i="13"/>
  <c r="T56" i="13"/>
  <c r="P56" i="13"/>
  <c r="AH55" i="13"/>
  <c r="V55" i="13"/>
  <c r="T55" i="13"/>
  <c r="P55" i="13"/>
  <c r="AH54" i="13"/>
  <c r="V54" i="13"/>
  <c r="T54" i="13"/>
  <c r="P54" i="13"/>
  <c r="AH53" i="13"/>
  <c r="T53" i="13"/>
  <c r="P53" i="13"/>
  <c r="AH52" i="13"/>
  <c r="V52" i="13"/>
  <c r="T52" i="13"/>
  <c r="P52" i="13"/>
  <c r="AH51" i="13"/>
  <c r="V51" i="13"/>
  <c r="T51" i="13"/>
  <c r="P51" i="13"/>
  <c r="AH50" i="13"/>
  <c r="T50" i="13"/>
  <c r="P50" i="13"/>
  <c r="AH49" i="13"/>
  <c r="V49" i="13"/>
  <c r="T49" i="13"/>
  <c r="P49" i="13"/>
  <c r="AH48" i="13"/>
  <c r="V48" i="13"/>
  <c r="T48" i="13"/>
  <c r="P48" i="13"/>
  <c r="AH47" i="13"/>
  <c r="V47" i="13"/>
  <c r="T47" i="13"/>
  <c r="P47" i="13"/>
  <c r="AH46" i="13"/>
  <c r="V46" i="13"/>
  <c r="T46" i="13"/>
  <c r="P46" i="13"/>
  <c r="AH45" i="13"/>
  <c r="T45" i="13"/>
  <c r="P45" i="13"/>
  <c r="AH44" i="13"/>
  <c r="V44" i="13"/>
  <c r="T44" i="13"/>
  <c r="P44" i="13"/>
  <c r="AH43" i="13"/>
  <c r="V43" i="13"/>
  <c r="T43" i="13"/>
  <c r="P43" i="13"/>
  <c r="AH42" i="13"/>
  <c r="V42" i="13"/>
  <c r="T42" i="13"/>
  <c r="P42" i="13"/>
  <c r="AH41" i="13"/>
  <c r="V41" i="13"/>
  <c r="T41" i="13"/>
  <c r="P41" i="13"/>
  <c r="AH40" i="13"/>
  <c r="V40" i="13"/>
  <c r="T40" i="13"/>
  <c r="P40" i="13"/>
  <c r="AH39" i="13"/>
  <c r="V39" i="13"/>
  <c r="T39" i="13"/>
  <c r="P39" i="13"/>
  <c r="AH38" i="13"/>
  <c r="V38" i="13"/>
  <c r="T38" i="13"/>
  <c r="P38" i="13"/>
  <c r="AH37" i="13"/>
  <c r="T37" i="13"/>
  <c r="P37" i="13"/>
  <c r="AH36" i="13"/>
  <c r="V36" i="13"/>
  <c r="T36" i="13"/>
  <c r="P36" i="13"/>
  <c r="AH35" i="13"/>
  <c r="V35" i="13"/>
  <c r="T35" i="13"/>
  <c r="P35" i="13"/>
  <c r="AH34" i="13"/>
  <c r="V34" i="13"/>
  <c r="T34" i="13"/>
  <c r="P34" i="13"/>
  <c r="AH33" i="13"/>
  <c r="T33" i="13"/>
  <c r="P33" i="13"/>
  <c r="AH32" i="13"/>
  <c r="V32" i="13"/>
  <c r="T32" i="13"/>
  <c r="P32" i="13"/>
  <c r="AH31" i="13"/>
  <c r="V31" i="13"/>
  <c r="T31" i="13"/>
  <c r="P31" i="13"/>
  <c r="AH30" i="13"/>
  <c r="V30" i="13"/>
  <c r="T30" i="13"/>
  <c r="P30" i="13"/>
  <c r="AH29" i="13"/>
  <c r="T29" i="13"/>
  <c r="P29" i="13"/>
  <c r="AH28" i="13"/>
  <c r="V28" i="13"/>
  <c r="T28" i="13"/>
  <c r="P28" i="13"/>
  <c r="AH27" i="13"/>
  <c r="V27" i="13"/>
  <c r="T27" i="13"/>
  <c r="P27" i="13"/>
  <c r="AH26" i="13"/>
  <c r="V26" i="13"/>
  <c r="T26" i="13"/>
  <c r="P26" i="13"/>
  <c r="AH25" i="13"/>
  <c r="V25" i="13"/>
  <c r="T25" i="13"/>
  <c r="P25" i="13"/>
  <c r="AH24" i="13"/>
  <c r="V24" i="13"/>
  <c r="T24" i="13"/>
  <c r="P24" i="13"/>
  <c r="AH23" i="13"/>
  <c r="V23" i="13"/>
  <c r="T23" i="13"/>
  <c r="P23" i="13"/>
  <c r="AH22" i="13"/>
  <c r="T22" i="13"/>
  <c r="P22" i="13"/>
  <c r="AH21" i="13"/>
  <c r="V21" i="13"/>
  <c r="T21" i="13"/>
  <c r="P21" i="13"/>
  <c r="AH20" i="13"/>
  <c r="V20" i="13"/>
  <c r="T20" i="13"/>
  <c r="P20" i="13"/>
  <c r="AH19" i="13"/>
  <c r="T19" i="13"/>
  <c r="P19" i="13"/>
  <c r="AH18" i="13"/>
  <c r="V18" i="13"/>
  <c r="T18" i="13"/>
  <c r="P18" i="13"/>
  <c r="AH17" i="13"/>
  <c r="V17" i="13"/>
  <c r="T17" i="13"/>
  <c r="P17" i="13"/>
  <c r="AH16" i="13"/>
  <c r="T16" i="13"/>
  <c r="P16" i="13"/>
  <c r="AH15" i="13"/>
  <c r="V15" i="13"/>
  <c r="T15" i="13"/>
  <c r="P15" i="13"/>
  <c r="AH14" i="13"/>
  <c r="V14" i="13"/>
  <c r="T14" i="13"/>
  <c r="P14" i="13"/>
  <c r="AH13" i="13"/>
  <c r="V13" i="13"/>
  <c r="T13" i="13"/>
  <c r="P13" i="13"/>
  <c r="AH12" i="13"/>
  <c r="V12" i="13"/>
  <c r="T12" i="13"/>
  <c r="P12" i="13"/>
  <c r="AH11" i="13"/>
  <c r="T11" i="13"/>
  <c r="P11" i="13"/>
  <c r="AH10" i="13"/>
  <c r="V10" i="13"/>
  <c r="T10" i="13"/>
  <c r="P10" i="13"/>
  <c r="AH9" i="13"/>
  <c r="V9" i="13"/>
  <c r="T9" i="13"/>
  <c r="P9" i="13"/>
  <c r="AH8" i="13"/>
  <c r="V8" i="13"/>
  <c r="T8" i="13"/>
  <c r="P8" i="13"/>
  <c r="AH7" i="13"/>
  <c r="V7" i="13"/>
  <c r="T7" i="13"/>
  <c r="P7" i="13"/>
  <c r="AH6" i="13"/>
  <c r="V6" i="13"/>
  <c r="T6" i="13"/>
  <c r="P6" i="13"/>
  <c r="AH5" i="13"/>
  <c r="V5" i="13"/>
  <c r="T5" i="13"/>
  <c r="P5" i="13"/>
  <c r="AH4" i="13"/>
  <c r="V4" i="13"/>
  <c r="T4" i="13"/>
  <c r="P4" i="13"/>
  <c r="AH3" i="13"/>
  <c r="T3" i="13"/>
  <c r="P3" i="13"/>
</calcChain>
</file>

<file path=xl/comments1.xml><?xml version="1.0" encoding="utf-8"?>
<comments xmlns="http://schemas.openxmlformats.org/spreadsheetml/2006/main">
  <authors>
    <author>Горник Евгения</author>
  </authors>
  <commentList>
    <comment ref="D2" authorId="0" shapeId="0">
      <text>
        <r>
          <rPr>
            <sz val="9"/>
            <color indexed="81"/>
            <rFont val="Tahoma"/>
            <family val="2"/>
            <charset val="204"/>
          </rPr>
          <t xml:space="preserve">Аукцион без снижения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победителя не минимальна
</t>
        </r>
      </text>
    </comment>
    <comment ref="F2" authorId="0" shapeId="0">
      <text>
        <r>
          <rPr>
            <sz val="9"/>
            <color indexed="81"/>
            <rFont val="Tahoma"/>
            <family val="2"/>
            <charset val="204"/>
          </rPr>
          <t>Снижение превышает 25%</t>
        </r>
      </text>
    </comment>
    <comment ref="G2" authorId="0" shapeId="0">
      <text>
        <r>
          <rPr>
            <sz val="9"/>
            <color indexed="81"/>
            <rFont val="Tahoma"/>
            <family val="2"/>
            <charset val="204"/>
          </rPr>
          <t>Контракт не по цене заявки</t>
        </r>
      </text>
    </comment>
    <comment ref="H2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Контракт не с победителем </t>
        </r>
      </text>
    </comment>
    <comment ref="I2" authorId="0" shapeId="0">
      <text>
        <r>
          <rPr>
            <sz val="9"/>
            <color indexed="81"/>
            <rFont val="Tahoma"/>
            <family val="2"/>
            <charset val="204"/>
          </rPr>
          <t>Один  допущенный участник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04"/>
          </rPr>
          <t>Нет допущенных участников</t>
        </r>
      </text>
    </comment>
    <comment ref="K2" authorId="0" shapeId="0">
      <text>
        <r>
          <rPr>
            <sz val="9"/>
            <color indexed="81"/>
            <rFont val="Tahoma"/>
            <family val="2"/>
            <charset val="204"/>
          </rPr>
          <t>Нет  участников</t>
        </r>
      </text>
    </comment>
    <comment ref="L2" authorId="0" shapeId="0">
      <text>
        <r>
          <rPr>
            <sz val="9"/>
            <color indexed="81"/>
            <rFont val="Tahoma"/>
            <family val="2"/>
            <charset val="204"/>
          </rPr>
          <t>Участник входит в РНП</t>
        </r>
      </text>
    </comment>
    <comment ref="M2" authorId="0" shapeId="0">
      <text>
        <r>
          <rPr>
            <sz val="9"/>
            <color indexed="81"/>
            <rFont val="Tahoma"/>
            <family val="2"/>
            <charset val="204"/>
          </rPr>
          <t>Торги с жалобой в ФАС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04"/>
          </rPr>
          <t>Экономия превышает 25%</t>
        </r>
      </text>
    </comment>
    <comment ref="O2" authorId="0" shapeId="0">
      <text>
        <r>
          <rPr>
            <sz val="9"/>
            <color indexed="81"/>
            <rFont val="Tahoma"/>
            <family val="2"/>
            <charset val="204"/>
          </rPr>
          <t>Цена контракта больше НМЦК</t>
        </r>
      </text>
    </comment>
  </commentList>
</comments>
</file>

<file path=xl/sharedStrings.xml><?xml version="1.0" encoding="utf-8"?>
<sst xmlns="http://schemas.openxmlformats.org/spreadsheetml/2006/main" count="2551" uniqueCount="230">
  <si>
    <t>Текстовое поле</t>
  </si>
  <si>
    <t>Период публикации</t>
  </si>
  <si>
    <t>Покупатель</t>
  </si>
  <si>
    <t>Продавец</t>
  </si>
  <si>
    <t>Регион поставки</t>
  </si>
  <si>
    <t>Источник</t>
  </si>
  <si>
    <t>ИНН</t>
  </si>
  <si>
    <t>*Публикация</t>
  </si>
  <si>
    <t>Торговая процедура в разрезе лотов или контракт</t>
  </si>
  <si>
    <t xml:space="preserve">Найдено публикаций всего*: </t>
  </si>
  <si>
    <t>Стоимость, руб.</t>
  </si>
  <si>
    <t>Дата построения отчета:</t>
  </si>
  <si>
    <t>Победитель</t>
  </si>
  <si>
    <t>Наименование публикации</t>
  </si>
  <si>
    <t>Внешний идентификатор</t>
  </si>
  <si>
    <t>Ссылка на страницу источника</t>
  </si>
  <si>
    <t>Предложение</t>
  </si>
  <si>
    <t>Публикация</t>
  </si>
  <si>
    <t>Спрос</t>
  </si>
  <si>
    <t>Уровень</t>
  </si>
  <si>
    <t>Стоимость
(руб.)</t>
  </si>
  <si>
    <t xml:space="preserve">Выбрано публикаций: </t>
  </si>
  <si>
    <t>Снижение на торгах,%</t>
  </si>
  <si>
    <t>Торговые площадки</t>
  </si>
  <si>
    <t>Типы торгов</t>
  </si>
  <si>
    <t>Тип торгов</t>
  </si>
  <si>
    <t>Торговая площадка</t>
  </si>
  <si>
    <t>Номер</t>
  </si>
  <si>
    <t>Аукцион без снижения</t>
  </si>
  <si>
    <t>Цена победителя не минимальна</t>
  </si>
  <si>
    <t>Экономия превышает 25%</t>
  </si>
  <si>
    <t>Контракт не по цене заявки</t>
  </si>
  <si>
    <t xml:space="preserve">Контракт не с победителем </t>
  </si>
  <si>
    <t>Один  допущенный участник</t>
  </si>
  <si>
    <t>Нет допущенных участников</t>
  </si>
  <si>
    <t>Нет  участников</t>
  </si>
  <si>
    <t>Участник входит в РНП</t>
  </si>
  <si>
    <t>Торги с жалобой в ФАС</t>
  </si>
  <si>
    <t xml:space="preserve">Дата </t>
  </si>
  <si>
    <t>Исполнитель</t>
  </si>
  <si>
    <t>Контракт</t>
  </si>
  <si>
    <t>Все</t>
  </si>
  <si>
    <t>Идентификаторы контроля</t>
  </si>
  <si>
    <t>Индикаторы контроля</t>
  </si>
  <si>
    <t>НМЦК</t>
  </si>
  <si>
    <t>Сфера деятельности</t>
  </si>
  <si>
    <t>Параметры поиска в реестре Контроля:</t>
  </si>
  <si>
    <t>Снижение превышает 25%</t>
  </si>
  <si>
    <t>Цена контракта больше НМЦК</t>
  </si>
  <si>
    <t>Количество продавцов</t>
  </si>
  <si>
    <t>-</t>
  </si>
  <si>
    <t>c 01.07.2014 по 12.12.2014</t>
  </si>
  <si>
    <t>Контракт не по цене заявки исполнителя</t>
  </si>
  <si>
    <t/>
  </si>
  <si>
    <t>да</t>
  </si>
  <si>
    <t>1655104997</t>
  </si>
  <si>
    <t>Аукцион электронный</t>
  </si>
  <si>
    <t>ZAKAZRF</t>
  </si>
  <si>
    <t>1661006807</t>
  </si>
  <si>
    <t>1, 4</t>
  </si>
  <si>
    <t>Сбербанк-АСТ</t>
  </si>
  <si>
    <t>Единая электронная торговая площадка</t>
  </si>
  <si>
    <t>3, 4, 11</t>
  </si>
  <si>
    <t>6027093469</t>
  </si>
  <si>
    <t>0357100005314000111</t>
  </si>
  <si>
    <t>0357100005314000093</t>
  </si>
  <si>
    <t>ЗАО "СИА Интернейшнл - Великий Новгород"</t>
  </si>
  <si>
    <t>5321087250</t>
  </si>
  <si>
    <t>7816215571</t>
  </si>
  <si>
    <t>7814442473</t>
  </si>
  <si>
    <t>7808041071</t>
  </si>
  <si>
    <t>7801109122</t>
  </si>
  <si>
    <t>6234096764</t>
  </si>
  <si>
    <t>4719016624</t>
  </si>
  <si>
    <t>4</t>
  </si>
  <si>
    <t>5262000600</t>
  </si>
  <si>
    <t>0332100035314000004</t>
  </si>
  <si>
    <t>ООО "ДТД"</t>
  </si>
  <si>
    <t>5254485647</t>
  </si>
  <si>
    <t>5261079653</t>
  </si>
  <si>
    <t>5262102520</t>
  </si>
  <si>
    <t>5259082994</t>
  </si>
  <si>
    <t>7132003466</t>
  </si>
  <si>
    <t>0366100008614000044</t>
  </si>
  <si>
    <t>0366100008614000036</t>
  </si>
  <si>
    <t>ООО "ХИМ ТРЕСТ"</t>
  </si>
  <si>
    <t>7107510705</t>
  </si>
  <si>
    <t>6312039244</t>
  </si>
  <si>
    <t>5024129010</t>
  </si>
  <si>
    <t>0148200005014000137</t>
  </si>
  <si>
    <t>0148200005014000078</t>
  </si>
  <si>
    <t>ООО "ОСК"</t>
  </si>
  <si>
    <t>7729636647</t>
  </si>
  <si>
    <t>7714616430</t>
  </si>
  <si>
    <t>3731011589</t>
  </si>
  <si>
    <t>0133200001714003240</t>
  </si>
  <si>
    <t>0333300008014000048</t>
  </si>
  <si>
    <t>ООО "ФО Волжская мануфактура"</t>
  </si>
  <si>
    <t>3702041317</t>
  </si>
  <si>
    <t>7723123462</t>
  </si>
  <si>
    <t>5017083029</t>
  </si>
  <si>
    <t>7810687137</t>
  </si>
  <si>
    <t>4, 12</t>
  </si>
  <si>
    <t>1655249311</t>
  </si>
  <si>
    <t>0811100001014000130</t>
  </si>
  <si>
    <t>0811100001014000134</t>
  </si>
  <si>
    <t>ООО "ТехноградПлюс"</t>
  </si>
  <si>
    <t>1660171340</t>
  </si>
  <si>
    <t>1658152727</t>
  </si>
  <si>
    <t>1650212974</t>
  </si>
  <si>
    <t>3, 4</t>
  </si>
  <si>
    <t>7809008334</t>
  </si>
  <si>
    <t>0372200138614000049</t>
  </si>
  <si>
    <t>0372200138614000071</t>
  </si>
  <si>
    <t>СПБ ГБУЗ "ГП-75"</t>
  </si>
  <si>
    <t>7810229391</t>
  </si>
  <si>
    <t>7813498360</t>
  </si>
  <si>
    <t>7801381840</t>
  </si>
  <si>
    <t>7707089101</t>
  </si>
  <si>
    <t>0173100003214000182</t>
  </si>
  <si>
    <t>0173100003214000313</t>
  </si>
  <si>
    <t>ООО "Интерпанорама"</t>
  </si>
  <si>
    <t>7723179296</t>
  </si>
  <si>
    <t>3306016564</t>
  </si>
  <si>
    <t>7705919029</t>
  </si>
  <si>
    <t>7709438534</t>
  </si>
  <si>
    <t>7706688536</t>
  </si>
  <si>
    <t>7802782203</t>
  </si>
  <si>
    <t>7719833526</t>
  </si>
  <si>
    <t>4, 11</t>
  </si>
  <si>
    <t>2633001943</t>
  </si>
  <si>
    <t>0321300003014000113</t>
  </si>
  <si>
    <t>0321300003014000156</t>
  </si>
  <si>
    <t>ООО "САС"</t>
  </si>
  <si>
    <t>2634089556</t>
  </si>
  <si>
    <t>7709203010</t>
  </si>
  <si>
    <t>725008374</t>
  </si>
  <si>
    <t>7704812643</t>
  </si>
  <si>
    <t>7813047463</t>
  </si>
  <si>
    <t>0372100010614000578</t>
  </si>
  <si>
    <t>0372100010614000598</t>
  </si>
  <si>
    <t>ЗАО "КОМПАНИЯ "ИНТЕРМЕДСЕРВИС"</t>
  </si>
  <si>
    <t>2636052865</t>
  </si>
  <si>
    <t>4207014720</t>
  </si>
  <si>
    <t>0139100004814000094</t>
  </si>
  <si>
    <t>0139100004814000051</t>
  </si>
  <si>
    <t>ООО "МИКРОНЭТ"</t>
  </si>
  <si>
    <t>4209006361</t>
  </si>
  <si>
    <t>2460255900</t>
  </si>
  <si>
    <t>6670280280</t>
  </si>
  <si>
    <t>5402572871</t>
  </si>
  <si>
    <t>4205245048</t>
  </si>
  <si>
    <t>3232000180</t>
  </si>
  <si>
    <t>0127100003114000098</t>
  </si>
  <si>
    <t>3207013107</t>
  </si>
  <si>
    <t>0127100003114000113</t>
  </si>
  <si>
    <t>ООО "Торговый Дом "Держава Плюс"</t>
  </si>
  <si>
    <t>7825661685</t>
  </si>
  <si>
    <t>0372200168114000188</t>
  </si>
  <si>
    <t>0372200168114000181</t>
  </si>
  <si>
    <t>ООО "КОРВЭЙ"</t>
  </si>
  <si>
    <t>7813133345</t>
  </si>
  <si>
    <t>7813383352</t>
  </si>
  <si>
    <t>6452099772</t>
  </si>
  <si>
    <t>0860100001314000104</t>
  </si>
  <si>
    <t>0860100001314000088</t>
  </si>
  <si>
    <t>ООО "МИР АВТОЗАПЧАСТЕЙ"</t>
  </si>
  <si>
    <t>7451370511</t>
  </si>
  <si>
    <t>6316096268</t>
  </si>
  <si>
    <t>7447212858</t>
  </si>
  <si>
    <t>6449000649</t>
  </si>
  <si>
    <t>5260082131</t>
  </si>
  <si>
    <t>6453109141</t>
  </si>
  <si>
    <t>7733835162</t>
  </si>
  <si>
    <t>7327064566</t>
  </si>
  <si>
    <t>5257117345</t>
  </si>
  <si>
    <t>5001018049</t>
  </si>
  <si>
    <t>0348100046614000341</t>
  </si>
  <si>
    <t>0348100046614000331</t>
  </si>
  <si>
    <t>ООО "ТК"</t>
  </si>
  <si>
    <t>3702073220</t>
  </si>
  <si>
    <t>5050038915</t>
  </si>
  <si>
    <t>6165184375</t>
  </si>
  <si>
    <t>7726741562</t>
  </si>
  <si>
    <t>7719508886</t>
  </si>
  <si>
    <t>2224063466</t>
  </si>
  <si>
    <t>0311100016814000212</t>
  </si>
  <si>
    <t>0311100016814000173</t>
  </si>
  <si>
    <t>ЗАО "Медсервис-регион"</t>
  </si>
  <si>
    <t>7451192379</t>
  </si>
  <si>
    <t>3906037358</t>
  </si>
  <si>
    <t>0335300045114000039</t>
  </si>
  <si>
    <t>0335300045114000037</t>
  </si>
  <si>
    <t>ООО "ЦЕНТРОФАРМА"</t>
  </si>
  <si>
    <t>7807369832</t>
  </si>
  <si>
    <t>5191501935</t>
  </si>
  <si>
    <t>0149100001914000204</t>
  </si>
  <si>
    <t>0149100001914000214</t>
  </si>
  <si>
    <t>ООО "ПрофТехСервис"</t>
  </si>
  <si>
    <t>5190188558</t>
  </si>
  <si>
    <t>5190034484</t>
  </si>
  <si>
    <t>7841492353</t>
  </si>
  <si>
    <t>0172200010114000012</t>
  </si>
  <si>
    <t>0172200010114000010</t>
  </si>
  <si>
    <t>ООО "СТАНДАРТ"</t>
  </si>
  <si>
    <t>7841488526</t>
  </si>
  <si>
    <t>7811500416</t>
  </si>
  <si>
    <t>7817321043</t>
  </si>
  <si>
    <t>2801184459</t>
  </si>
  <si>
    <t>2311079945</t>
  </si>
  <si>
    <t>0318100017214000067</t>
  </si>
  <si>
    <t>0318100017214000062</t>
  </si>
  <si>
    <t>ООО "ТИРИОН"</t>
  </si>
  <si>
    <t>7726747740</t>
  </si>
  <si>
    <t>614314197100</t>
  </si>
  <si>
    <t>2310052669</t>
  </si>
  <si>
    <t>2635821677</t>
  </si>
  <si>
    <t>2314024609</t>
  </si>
  <si>
    <t>2312015077</t>
  </si>
  <si>
    <t>519048055639</t>
  </si>
  <si>
    <t>2309060714</t>
  </si>
  <si>
    <t>6165179400</t>
  </si>
  <si>
    <t>2312156896</t>
  </si>
  <si>
    <t>3728015865</t>
  </si>
  <si>
    <t>0133100000214000129</t>
  </si>
  <si>
    <t>0133100000214000119</t>
  </si>
  <si>
    <t>ООО "Атрибут"</t>
  </si>
  <si>
    <t>7807044714</t>
  </si>
  <si>
    <t>3702706811</t>
  </si>
  <si>
    <t>3702098673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</si>
</sst>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0"/>
      <color rgb="FF80808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0"/>
      <color theme="3" tint="0.3999755851924192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1"/>
      <color theme="1"/>
      <name val="Calibri"/>
      <family val="2"/>
      <scheme val="minor"/>
    </font>
    <font>
      <u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8" tint="-0.2499465926084170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</borders>
  <cellStyleXfs count="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0">
    <xf numFmtId="0" fontId="0" fillId="0" borderId="0" xfId="0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0" xfId="0" applyFont="1" applyFill="1" applyBorder="1"/>
    <xf numFmtId="0" fontId="7" fillId="5" borderId="0" xfId="0" applyFont="1" applyFill="1" applyBorder="1"/>
    <xf numFmtId="0" fontId="8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Border="1" applyAlignment="1"/>
    <xf numFmtId="0" fontId="9" fillId="5" borderId="0" xfId="0" applyFont="1" applyFill="1" applyBorder="1"/>
    <xf numFmtId="0" fontId="10" fillId="6" borderId="2" xfId="4" applyFont="1" applyFill="1" applyBorder="1" applyAlignment="1">
      <alignment horizontal="center" vertical="center" wrapText="1"/>
    </xf>
    <xf numFmtId="0" fontId="10" fillId="7" borderId="2" xfId="4" applyFont="1" applyFill="1" applyBorder="1" applyAlignment="1">
      <alignment horizontal="center" vertical="center" wrapText="1"/>
    </xf>
    <xf numFmtId="0" fontId="11" fillId="8" borderId="2" xfId="4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49" fontId="9" fillId="5" borderId="0" xfId="0" applyNumberFormat="1" applyFont="1" applyFill="1"/>
    <xf numFmtId="14" fontId="9" fillId="5" borderId="0" xfId="0" applyNumberFormat="1" applyFont="1" applyFill="1" applyAlignment="1">
      <alignment horizontal="center"/>
    </xf>
    <xf numFmtId="49" fontId="9" fillId="5" borderId="0" xfId="0" applyNumberFormat="1" applyFont="1" applyFill="1" applyAlignment="1">
      <alignment horizontal="center"/>
    </xf>
    <xf numFmtId="49" fontId="9" fillId="5" borderId="0" xfId="0" applyNumberFormat="1" applyFont="1" applyFill="1" applyAlignment="1">
      <alignment horizontal="left"/>
    </xf>
    <xf numFmtId="0" fontId="9" fillId="5" borderId="0" xfId="0" applyFont="1" applyFill="1" applyAlignment="1">
      <alignment horizontal="right"/>
    </xf>
    <xf numFmtId="4" fontId="9" fillId="5" borderId="0" xfId="0" applyNumberFormat="1" applyFont="1" applyFill="1" applyAlignment="1">
      <alignment horizontal="right"/>
    </xf>
    <xf numFmtId="10" fontId="9" fillId="5" borderId="0" xfId="0" applyNumberFormat="1" applyFont="1" applyFill="1" applyAlignment="1">
      <alignment horizontal="right"/>
    </xf>
    <xf numFmtId="10" fontId="9" fillId="5" borderId="0" xfId="0" applyNumberFormat="1" applyFont="1" applyFill="1"/>
    <xf numFmtId="0" fontId="9" fillId="5" borderId="0" xfId="0" applyFont="1" applyFill="1" applyAlignment="1">
      <alignment horizontal="left"/>
    </xf>
    <xf numFmtId="0" fontId="14" fillId="5" borderId="3" xfId="4" applyFont="1" applyFill="1" applyBorder="1" applyAlignment="1">
      <alignment horizontal="left" vertical="top" wrapText="1"/>
    </xf>
    <xf numFmtId="1" fontId="15" fillId="0" borderId="1" xfId="1" applyNumberFormat="1" applyFont="1" applyFill="1" applyBorder="1" applyAlignment="1">
      <alignment horizontal="left" vertical="top"/>
    </xf>
    <xf numFmtId="1" fontId="16" fillId="0" borderId="1" xfId="1" applyNumberFormat="1" applyFont="1" applyFill="1" applyBorder="1" applyAlignment="1">
      <alignment horizontal="left" vertical="top"/>
    </xf>
    <xf numFmtId="49" fontId="16" fillId="0" borderId="1" xfId="1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4" fontId="16" fillId="0" borderId="1" xfId="1" applyNumberFormat="1" applyFont="1" applyFill="1" applyBorder="1" applyAlignment="1">
      <alignment horizontal="left" vertical="top"/>
    </xf>
    <xf numFmtId="49" fontId="15" fillId="0" borderId="1" xfId="1" applyNumberFormat="1" applyFont="1" applyFill="1" applyBorder="1" applyAlignment="1">
      <alignment horizontal="left" vertical="top"/>
    </xf>
    <xf numFmtId="0" fontId="10" fillId="7" borderId="4" xfId="4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49" fontId="18" fillId="5" borderId="1" xfId="0" applyNumberFormat="1" applyFont="1" applyFill="1" applyBorder="1" applyAlignment="1">
      <alignment vertical="top" wrapText="1"/>
    </xf>
    <xf numFmtId="49" fontId="19" fillId="5" borderId="5" xfId="0" applyNumberFormat="1" applyFont="1" applyFill="1" applyBorder="1" applyAlignment="1">
      <alignment horizontal="left" vertical="top"/>
    </xf>
    <xf numFmtId="3" fontId="16" fillId="5" borderId="1" xfId="1" applyNumberFormat="1" applyFont="1" applyFill="1" applyBorder="1" applyAlignment="1">
      <alignment vertical="top"/>
    </xf>
    <xf numFmtId="0" fontId="12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left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18" fillId="5" borderId="0" xfId="0" applyFont="1" applyFill="1" applyBorder="1" applyAlignment="1">
      <alignment vertical="top" wrapText="1"/>
    </xf>
    <xf numFmtId="49" fontId="18" fillId="5" borderId="1" xfId="0" applyNumberFormat="1" applyFont="1" applyFill="1" applyBorder="1" applyAlignment="1">
      <alignment horizontal="center" vertical="top" wrapText="1"/>
    </xf>
    <xf numFmtId="4" fontId="16" fillId="0" borderId="1" xfId="1" applyNumberFormat="1" applyFont="1" applyFill="1" applyBorder="1" applyAlignment="1">
      <alignment horizontal="right" vertical="top"/>
    </xf>
    <xf numFmtId="10" fontId="16" fillId="0" borderId="1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9" fillId="5" borderId="6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14" fontId="22" fillId="5" borderId="6" xfId="1" applyNumberFormat="1" applyFont="1" applyFill="1" applyBorder="1" applyAlignment="1">
      <alignment horizontal="left" vertical="top" wrapText="1"/>
    </xf>
    <xf numFmtId="14" fontId="22" fillId="5" borderId="7" xfId="1" applyNumberFormat="1" applyFont="1" applyFill="1" applyBorder="1" applyAlignment="1">
      <alignment horizontal="left" vertical="top" wrapText="1"/>
    </xf>
    <xf numFmtId="3" fontId="22" fillId="5" borderId="6" xfId="0" applyNumberFormat="1" applyFont="1" applyFill="1" applyBorder="1" applyAlignment="1">
      <alignment horizontal="left" vertical="top" wrapText="1"/>
    </xf>
    <xf numFmtId="3" fontId="22" fillId="5" borderId="7" xfId="0" applyNumberFormat="1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horizontal="left" vertical="top" wrapText="1"/>
    </xf>
    <xf numFmtId="14" fontId="19" fillId="5" borderId="6" xfId="0" applyNumberFormat="1" applyFont="1" applyFill="1" applyBorder="1" applyAlignment="1">
      <alignment horizontal="left" vertical="top" wrapText="1"/>
    </xf>
    <xf numFmtId="14" fontId="19" fillId="5" borderId="7" xfId="0" applyNumberFormat="1" applyFont="1" applyFill="1" applyBorder="1" applyAlignment="1">
      <alignment horizontal="left" vertical="top" wrapText="1"/>
    </xf>
    <xf numFmtId="49" fontId="18" fillId="5" borderId="6" xfId="0" applyNumberFormat="1" applyFont="1" applyFill="1" applyBorder="1" applyAlignment="1">
      <alignment horizontal="left" vertical="top" wrapText="1"/>
    </xf>
    <xf numFmtId="49" fontId="18" fillId="5" borderId="7" xfId="0" applyNumberFormat="1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20" fillId="5" borderId="2" xfId="0" applyFont="1" applyFill="1" applyBorder="1" applyAlignment="1">
      <alignment horizontal="left" vertical="top" wrapText="1"/>
    </xf>
    <xf numFmtId="0" fontId="14" fillId="5" borderId="2" xfId="4" applyFont="1" applyFill="1" applyBorder="1" applyAlignment="1">
      <alignment horizontal="left" vertical="top" wrapText="1"/>
    </xf>
    <xf numFmtId="0" fontId="14" fillId="5" borderId="6" xfId="4" applyFont="1" applyFill="1" applyBorder="1" applyAlignment="1">
      <alignment horizontal="left" vertical="top" wrapText="1"/>
    </xf>
    <xf numFmtId="0" fontId="14" fillId="5" borderId="7" xfId="4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0" fillId="7" borderId="2" xfId="4" applyFont="1" applyFill="1" applyBorder="1" applyAlignment="1">
      <alignment vertical="center" wrapText="1"/>
    </xf>
    <xf numFmtId="0" fontId="10" fillId="7" borderId="4" xfId="4" applyFont="1" applyFill="1" applyBorder="1" applyAlignment="1">
      <alignment vertical="center" wrapText="1"/>
    </xf>
    <xf numFmtId="0" fontId="10" fillId="7" borderId="2" xfId="4" applyFont="1" applyFill="1" applyBorder="1" applyAlignment="1">
      <alignment horizontal="center" vertical="center" wrapText="1"/>
    </xf>
    <xf numFmtId="0" fontId="10" fillId="7" borderId="6" xfId="4" applyFont="1" applyFill="1" applyBorder="1" applyAlignment="1">
      <alignment horizontal="center" vertical="center" wrapText="1"/>
    </xf>
    <xf numFmtId="0" fontId="10" fillId="7" borderId="3" xfId="4" applyFont="1" applyFill="1" applyBorder="1" applyAlignment="1">
      <alignment horizontal="center" vertical="center" wrapText="1"/>
    </xf>
    <xf numFmtId="0" fontId="10" fillId="7" borderId="7" xfId="4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23" fillId="9" borderId="2" xfId="3" applyFont="1" applyFill="1" applyBorder="1" applyAlignment="1">
      <alignment horizontal="center" vertical="center" wrapText="1"/>
    </xf>
    <xf numFmtId="0" fontId="24" fillId="9" borderId="2" xfId="3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</cellXfs>
  <cellStyles count="9">
    <cellStyle name="20% — акцент5" xfId="1" builtinId="46"/>
    <cellStyle name="20% - Акцент5 2" xfId="2"/>
    <cellStyle name="60% — акцент5" xfId="3" builtinId="48"/>
    <cellStyle name="Акцент5" xfId="4" builtinId="45"/>
    <cellStyle name="Гиперссылка 2" xfId="5"/>
    <cellStyle name="Обычный" xfId="0" builtinId="0"/>
    <cellStyle name="Обычный 2" xfId="6"/>
    <cellStyle name="Процентный 2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36"/>
  <sheetViews>
    <sheetView workbookViewId="0">
      <selection sqref="A1:D1"/>
    </sheetView>
  </sheetViews>
  <sheetFormatPr defaultRowHeight="15" x14ac:dyDescent="0.25"/>
  <cols>
    <col min="1" max="1" width="14.7109375" style="1" customWidth="1"/>
    <col min="2" max="2" width="13.7109375" style="1" customWidth="1"/>
    <col min="3" max="3" width="23.42578125" style="2" customWidth="1"/>
    <col min="4" max="4" width="32" style="5" customWidth="1"/>
    <col min="5" max="16384" width="9.140625" style="1"/>
  </cols>
  <sheetData>
    <row r="1" spans="1:9" ht="21" x14ac:dyDescent="0.35">
      <c r="A1" s="49" t="s">
        <v>46</v>
      </c>
      <c r="B1" s="49"/>
      <c r="C1" s="49"/>
      <c r="D1" s="49"/>
    </row>
    <row r="2" spans="1:9" x14ac:dyDescent="0.25">
      <c r="A2" s="62" t="s">
        <v>11</v>
      </c>
      <c r="B2" s="62"/>
      <c r="C2" s="50">
        <v>41985.685231481497</v>
      </c>
      <c r="D2" s="51"/>
    </row>
    <row r="3" spans="1:9" x14ac:dyDescent="0.25">
      <c r="A3" s="62" t="s">
        <v>9</v>
      </c>
      <c r="B3" s="62"/>
      <c r="C3" s="52">
        <v>14636</v>
      </c>
      <c r="D3" s="53"/>
    </row>
    <row r="4" spans="1:9" x14ac:dyDescent="0.25">
      <c r="A4" s="62" t="s">
        <v>21</v>
      </c>
      <c r="B4" s="62"/>
      <c r="C4" s="52">
        <v>50</v>
      </c>
      <c r="D4" s="53"/>
    </row>
    <row r="5" spans="1:9" x14ac:dyDescent="0.25">
      <c r="A5" s="39"/>
      <c r="B5" s="39"/>
      <c r="D5" s="1"/>
    </row>
    <row r="6" spans="1:9" x14ac:dyDescent="0.25">
      <c r="A6" s="63" t="s">
        <v>0</v>
      </c>
      <c r="B6" s="63"/>
      <c r="C6" s="54" t="s">
        <v>50</v>
      </c>
      <c r="D6" s="55"/>
      <c r="E6" s="3"/>
    </row>
    <row r="7" spans="1:9" x14ac:dyDescent="0.25">
      <c r="A7" s="63" t="s">
        <v>1</v>
      </c>
      <c r="B7" s="63"/>
      <c r="C7" s="56" t="s">
        <v>51</v>
      </c>
      <c r="D7" s="57"/>
      <c r="E7" s="4"/>
    </row>
    <row r="8" spans="1:9" x14ac:dyDescent="0.25">
      <c r="A8" s="63" t="s">
        <v>43</v>
      </c>
      <c r="B8" s="63"/>
      <c r="C8" s="58" t="s">
        <v>52</v>
      </c>
      <c r="D8" s="59"/>
      <c r="E8" s="4"/>
    </row>
    <row r="9" spans="1:9" x14ac:dyDescent="0.25">
      <c r="A9" s="63" t="s">
        <v>2</v>
      </c>
      <c r="B9" s="63"/>
      <c r="C9" s="60" t="s">
        <v>50</v>
      </c>
      <c r="D9" s="61"/>
      <c r="E9" s="4"/>
    </row>
    <row r="10" spans="1:9" x14ac:dyDescent="0.25">
      <c r="A10" s="26"/>
      <c r="B10" s="26"/>
      <c r="C10" s="42"/>
      <c r="D10" s="4"/>
      <c r="E10" s="4"/>
    </row>
    <row r="11" spans="1:9" x14ac:dyDescent="0.25">
      <c r="A11" s="64" t="s">
        <v>44</v>
      </c>
      <c r="B11" s="65"/>
      <c r="C11" s="58" t="s">
        <v>50</v>
      </c>
      <c r="D11" s="59"/>
      <c r="E11" s="4"/>
    </row>
    <row r="12" spans="1:9" x14ac:dyDescent="0.25">
      <c r="A12" s="64" t="s">
        <v>5</v>
      </c>
      <c r="B12" s="65"/>
      <c r="C12" s="60" t="s">
        <v>50</v>
      </c>
      <c r="D12" s="61"/>
      <c r="E12" s="4"/>
      <c r="I12" s="41"/>
    </row>
    <row r="13" spans="1:9" x14ac:dyDescent="0.25">
      <c r="A13" s="64" t="s">
        <v>4</v>
      </c>
      <c r="B13" s="65"/>
      <c r="C13" s="60" t="s">
        <v>50</v>
      </c>
      <c r="D13" s="61"/>
      <c r="E13" s="4"/>
    </row>
    <row r="14" spans="1:9" x14ac:dyDescent="0.25">
      <c r="A14" s="64" t="s">
        <v>3</v>
      </c>
      <c r="B14" s="65"/>
      <c r="C14" s="60" t="s">
        <v>50</v>
      </c>
      <c r="D14" s="61"/>
      <c r="E14" s="4"/>
    </row>
    <row r="15" spans="1:9" x14ac:dyDescent="0.25">
      <c r="A15" s="64" t="s">
        <v>24</v>
      </c>
      <c r="B15" s="65"/>
      <c r="C15" s="60" t="s">
        <v>50</v>
      </c>
      <c r="D15" s="61"/>
      <c r="E15" s="4"/>
    </row>
    <row r="16" spans="1:9" x14ac:dyDescent="0.25">
      <c r="A16" s="64" t="s">
        <v>23</v>
      </c>
      <c r="B16" s="65"/>
      <c r="C16" s="60" t="s">
        <v>50</v>
      </c>
      <c r="D16" s="61"/>
      <c r="E16" s="4"/>
    </row>
    <row r="17" spans="1:13" x14ac:dyDescent="0.25">
      <c r="A17" s="64" t="s">
        <v>45</v>
      </c>
      <c r="B17" s="65"/>
      <c r="C17" s="60" t="s">
        <v>50</v>
      </c>
      <c r="D17" s="61"/>
      <c r="E17" s="4"/>
    </row>
    <row r="18" spans="1:13" x14ac:dyDescent="0.25">
      <c r="A18" s="6" t="s">
        <v>7</v>
      </c>
      <c r="B18" s="6" t="s">
        <v>8</v>
      </c>
    </row>
    <row r="19" spans="1:13" x14ac:dyDescent="0.25">
      <c r="C19" s="40"/>
      <c r="D19" s="40"/>
    </row>
    <row r="20" spans="1:13" x14ac:dyDescent="0.25">
      <c r="A20" s="15" t="s">
        <v>27</v>
      </c>
      <c r="B20" s="66" t="s">
        <v>42</v>
      </c>
      <c r="C20" s="67"/>
      <c r="D20" s="40"/>
      <c r="E20" s="38"/>
      <c r="F20" s="38"/>
      <c r="G20" s="38"/>
      <c r="H20" s="38"/>
      <c r="I20" s="38"/>
      <c r="J20" s="38"/>
      <c r="K20" s="38"/>
      <c r="L20" s="38"/>
      <c r="M20" s="38"/>
    </row>
    <row r="21" spans="1:13" x14ac:dyDescent="0.25">
      <c r="A21" s="16">
        <v>1</v>
      </c>
      <c r="B21" s="47" t="s">
        <v>28</v>
      </c>
      <c r="C21" s="48"/>
      <c r="D21" s="4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6">
        <v>2</v>
      </c>
      <c r="B22" s="47" t="s">
        <v>29</v>
      </c>
      <c r="C22" s="48"/>
      <c r="D22" s="4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6">
        <v>3</v>
      </c>
      <c r="B23" s="47" t="s">
        <v>47</v>
      </c>
      <c r="C23" s="48"/>
      <c r="D23" s="4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6">
        <v>4</v>
      </c>
      <c r="B24" s="47" t="s">
        <v>31</v>
      </c>
      <c r="C24" s="48"/>
      <c r="D24" s="4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6">
        <v>5</v>
      </c>
      <c r="B25" s="47" t="s">
        <v>32</v>
      </c>
      <c r="C25" s="48"/>
      <c r="D25" s="4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6">
        <v>6</v>
      </c>
      <c r="B26" s="47" t="s">
        <v>33</v>
      </c>
      <c r="C26" s="48"/>
      <c r="D26" s="4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A27" s="16">
        <v>7</v>
      </c>
      <c r="B27" s="47" t="s">
        <v>34</v>
      </c>
      <c r="C27" s="48"/>
      <c r="D27" s="4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5">
      <c r="A28" s="16">
        <v>8</v>
      </c>
      <c r="B28" s="47" t="s">
        <v>35</v>
      </c>
      <c r="C28" s="48"/>
      <c r="D28" s="4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5">
      <c r="A29" s="16">
        <v>9</v>
      </c>
      <c r="B29" s="47" t="s">
        <v>36</v>
      </c>
      <c r="C29" s="48"/>
      <c r="D29" s="4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A30" s="16">
        <v>10</v>
      </c>
      <c r="B30" s="47" t="s">
        <v>37</v>
      </c>
      <c r="C30" s="48"/>
      <c r="D30" s="4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5">
      <c r="A31" s="16">
        <v>11</v>
      </c>
      <c r="B31" s="47" t="s">
        <v>30</v>
      </c>
      <c r="C31" s="48"/>
      <c r="D31" s="4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16">
        <v>12</v>
      </c>
      <c r="B32" s="47" t="s">
        <v>48</v>
      </c>
      <c r="C32" s="48"/>
      <c r="D32" s="4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5">
      <c r="A33" s="7"/>
      <c r="B33" s="7"/>
      <c r="C33" s="40"/>
      <c r="D33" s="40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C34" s="40"/>
      <c r="D34" s="40"/>
    </row>
    <row r="35" spans="1:13" x14ac:dyDescent="0.25">
      <c r="C35" s="40"/>
      <c r="D35" s="40"/>
    </row>
    <row r="36" spans="1:13" x14ac:dyDescent="0.25">
      <c r="C36" s="40"/>
      <c r="D36" s="40"/>
    </row>
  </sheetData>
  <mergeCells count="42">
    <mergeCell ref="C17:D17"/>
    <mergeCell ref="A16:B16"/>
    <mergeCell ref="A17:B17"/>
    <mergeCell ref="B20:C20"/>
    <mergeCell ref="B21:C21"/>
    <mergeCell ref="B22:C22"/>
    <mergeCell ref="A14:B14"/>
    <mergeCell ref="A15:B15"/>
    <mergeCell ref="B28:C28"/>
    <mergeCell ref="A8:B8"/>
    <mergeCell ref="A9:B9"/>
    <mergeCell ref="A11:B11"/>
    <mergeCell ref="A12:B12"/>
    <mergeCell ref="A13:B13"/>
    <mergeCell ref="C15:D15"/>
    <mergeCell ref="C16:D16"/>
    <mergeCell ref="C12:D12"/>
    <mergeCell ref="C13:D13"/>
    <mergeCell ref="C14:D14"/>
    <mergeCell ref="B23:C23"/>
    <mergeCell ref="B24:C24"/>
    <mergeCell ref="A2:B2"/>
    <mergeCell ref="A3:B3"/>
    <mergeCell ref="A4:B4"/>
    <mergeCell ref="A6:B6"/>
    <mergeCell ref="A7:B7"/>
    <mergeCell ref="B32:C32"/>
    <mergeCell ref="A1:D1"/>
    <mergeCell ref="C2:D2"/>
    <mergeCell ref="C3:D3"/>
    <mergeCell ref="C4:D4"/>
    <mergeCell ref="C6:D6"/>
    <mergeCell ref="C7:D7"/>
    <mergeCell ref="C8:D8"/>
    <mergeCell ref="C9:D9"/>
    <mergeCell ref="C11:D11"/>
    <mergeCell ref="B29:C29"/>
    <mergeCell ref="B30:C30"/>
    <mergeCell ref="B25:C25"/>
    <mergeCell ref="B26:C26"/>
    <mergeCell ref="B27:C27"/>
    <mergeCell ref="B31:C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1:BV113"/>
  <sheetViews>
    <sheetView tabSelected="1" topLeftCell="N1" workbookViewId="0">
      <pane ySplit="2" topLeftCell="A3" activePane="bottomLeft" state="frozen"/>
      <selection pane="bottomLeft" activeCell="P1" sqref="P1:R1"/>
    </sheetView>
  </sheetViews>
  <sheetFormatPr defaultRowHeight="15" customHeight="1" outlineLevelRow="1" x14ac:dyDescent="0.15"/>
  <cols>
    <col min="1" max="1" width="1.7109375" style="7" customWidth="1"/>
    <col min="2" max="2" width="7.7109375" style="7" customWidth="1"/>
    <col min="3" max="3" width="17.140625" style="7" customWidth="1"/>
    <col min="4" max="7" width="3.42578125" style="7" customWidth="1"/>
    <col min="8" max="12" width="3.42578125" style="7" hidden="1" customWidth="1"/>
    <col min="13" max="15" width="3.42578125" style="7" customWidth="1"/>
    <col min="16" max="16" width="30.7109375" style="7" customWidth="1"/>
    <col min="17" max="17" width="12.7109375" style="7" customWidth="1"/>
    <col min="18" max="18" width="15.7109375" style="7" customWidth="1"/>
    <col min="19" max="19" width="20.7109375" style="7" customWidth="1"/>
    <col min="20" max="20" width="26.28515625" style="7" customWidth="1"/>
    <col min="21" max="21" width="12.5703125" style="7" customWidth="1"/>
    <col min="22" max="22" width="17.5703125" style="7" customWidth="1"/>
    <col min="23" max="23" width="12.140625" style="7" customWidth="1"/>
    <col min="24" max="24" width="11.5703125" style="7" customWidth="1"/>
    <col min="25" max="25" width="14" style="7" customWidth="1"/>
    <col min="26" max="26" width="12.42578125" style="7" customWidth="1"/>
    <col min="27" max="27" width="15.5703125" style="7" bestFit="1" customWidth="1"/>
    <col min="28" max="28" width="10.140625" style="7" customWidth="1"/>
    <col min="29" max="29" width="10.5703125" style="7" customWidth="1"/>
    <col min="30" max="30" width="21" style="7" customWidth="1"/>
    <col min="31" max="31" width="13.28515625" style="7" customWidth="1"/>
    <col min="32" max="32" width="19.42578125" style="7" customWidth="1"/>
    <col min="33" max="33" width="12.140625" style="7" customWidth="1"/>
    <col min="34" max="34" width="10.7109375" style="7" customWidth="1"/>
    <col min="35" max="16384" width="9.140625" style="7"/>
  </cols>
  <sheetData>
    <row r="1" spans="2:34" s="8" customFormat="1" ht="30" customHeight="1" x14ac:dyDescent="0.25">
      <c r="B1" s="68" t="s">
        <v>19</v>
      </c>
      <c r="C1" s="71" t="s">
        <v>42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0" t="s">
        <v>18</v>
      </c>
      <c r="Q1" s="70"/>
      <c r="R1" s="70"/>
      <c r="S1" s="70" t="s">
        <v>17</v>
      </c>
      <c r="T1" s="70"/>
      <c r="U1" s="70"/>
      <c r="V1" s="70" t="s">
        <v>16</v>
      </c>
      <c r="W1" s="70"/>
      <c r="X1" s="70"/>
      <c r="Y1" s="70"/>
      <c r="Z1" s="70"/>
      <c r="AA1" s="74" t="s">
        <v>25</v>
      </c>
      <c r="AB1" s="78" t="s">
        <v>49</v>
      </c>
      <c r="AC1" s="75" t="s">
        <v>26</v>
      </c>
      <c r="AD1" s="77" t="s">
        <v>40</v>
      </c>
      <c r="AE1" s="77"/>
      <c r="AF1" s="77"/>
      <c r="AG1" s="77"/>
      <c r="AH1" s="70" t="s">
        <v>15</v>
      </c>
    </row>
    <row r="2" spans="2:34" s="9" customFormat="1" ht="39.75" customHeight="1" x14ac:dyDescent="0.25">
      <c r="B2" s="69"/>
      <c r="C2" s="33" t="s">
        <v>41</v>
      </c>
      <c r="D2" s="33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>
        <v>10</v>
      </c>
      <c r="N2" s="33">
        <v>11</v>
      </c>
      <c r="O2" s="33">
        <v>12</v>
      </c>
      <c r="P2" s="13" t="s">
        <v>2</v>
      </c>
      <c r="Q2" s="13" t="s">
        <v>6</v>
      </c>
      <c r="R2" s="13" t="s">
        <v>20</v>
      </c>
      <c r="S2" s="13" t="s">
        <v>14</v>
      </c>
      <c r="T2" s="13" t="s">
        <v>13</v>
      </c>
      <c r="U2" s="13" t="s">
        <v>38</v>
      </c>
      <c r="V2" s="13" t="s">
        <v>3</v>
      </c>
      <c r="W2" s="13" t="s">
        <v>6</v>
      </c>
      <c r="X2" s="13" t="s">
        <v>12</v>
      </c>
      <c r="Y2" s="13" t="s">
        <v>20</v>
      </c>
      <c r="Z2" s="14" t="s">
        <v>22</v>
      </c>
      <c r="AA2" s="74"/>
      <c r="AB2" s="79"/>
      <c r="AC2" s="76"/>
      <c r="AD2" s="12" t="s">
        <v>14</v>
      </c>
      <c r="AE2" s="12" t="s">
        <v>10</v>
      </c>
      <c r="AF2" s="12" t="s">
        <v>39</v>
      </c>
      <c r="AG2" s="12" t="s">
        <v>6</v>
      </c>
      <c r="AH2" s="70"/>
    </row>
    <row r="3" spans="2:34" x14ac:dyDescent="0.15">
      <c r="B3" s="34">
        <v>1</v>
      </c>
      <c r="C3" s="43" t="s">
        <v>62</v>
      </c>
      <c r="D3" s="35" t="s">
        <v>53</v>
      </c>
      <c r="E3" s="37" t="s">
        <v>53</v>
      </c>
      <c r="F3" s="37" t="s">
        <v>54</v>
      </c>
      <c r="G3" s="37" t="s">
        <v>54</v>
      </c>
      <c r="H3" s="37" t="s">
        <v>53</v>
      </c>
      <c r="I3" s="37" t="s">
        <v>53</v>
      </c>
      <c r="J3" s="37" t="s">
        <v>53</v>
      </c>
      <c r="K3" s="37" t="s">
        <v>53</v>
      </c>
      <c r="L3" s="37" t="s">
        <v>53</v>
      </c>
      <c r="M3" s="37" t="s">
        <v>53</v>
      </c>
      <c r="N3" s="37" t="s">
        <v>54</v>
      </c>
      <c r="O3" s="37" t="s">
        <v>53</v>
      </c>
      <c r="P3" s="27" t="str">
        <f t="shared" ref="P3:P10" si="0">HYPERLINK("http://www.spark-marketing.ru/Participants/CardMain?id=484622", "ФКУЗ ""МСЧ МВД России по Псковской области""")</f>
        <v>ФКУЗ "МСЧ МВД России по Псковской области"</v>
      </c>
      <c r="Q3" s="28" t="s">
        <v>63</v>
      </c>
      <c r="R3" s="44">
        <v>231928.2</v>
      </c>
      <c r="S3" s="29" t="s">
        <v>64</v>
      </c>
      <c r="T3" s="27" t="str">
        <f t="shared" ref="T3:T10" si="1">HYPERLINK("http://www.spark-marketing.ru/Purchases/CardMain?packId=211035218", "Поставка лекарственных средств")</f>
        <v>Поставка лекарственных средств</v>
      </c>
      <c r="U3" s="31">
        <v>41912.901365740698</v>
      </c>
      <c r="V3" s="27" t="s">
        <v>53</v>
      </c>
      <c r="W3" s="28" t="s">
        <v>53</v>
      </c>
      <c r="X3" s="29" t="s">
        <v>53</v>
      </c>
      <c r="Y3" s="44" t="s">
        <v>53</v>
      </c>
      <c r="Z3" s="45" t="s">
        <v>53</v>
      </c>
      <c r="AA3" s="30" t="s">
        <v>56</v>
      </c>
      <c r="AB3" s="46">
        <v>7</v>
      </c>
      <c r="AC3" s="30" t="s">
        <v>60</v>
      </c>
      <c r="AD3" s="29" t="s">
        <v>65</v>
      </c>
      <c r="AE3" s="44">
        <v>104452.15</v>
      </c>
      <c r="AF3" s="29" t="s">
        <v>66</v>
      </c>
      <c r="AG3" s="36" t="s">
        <v>67</v>
      </c>
      <c r="AH3" s="32" t="str">
        <f t="shared" ref="AH3:AH10" si="2">HYPERLINK("http://zakupki.gov.ru/epz/order/notice/ea44/view/common-info.html?regNumber=0357100005314000111", "ссылка")</f>
        <v>ссылка</v>
      </c>
    </row>
    <row r="4" spans="2:34" outlineLevel="1" x14ac:dyDescent="0.15">
      <c r="B4" s="34">
        <v>2</v>
      </c>
      <c r="C4" s="43" t="s">
        <v>62</v>
      </c>
      <c r="D4" s="35" t="s">
        <v>53</v>
      </c>
      <c r="E4" s="37" t="s">
        <v>53</v>
      </c>
      <c r="F4" s="37" t="s">
        <v>54</v>
      </c>
      <c r="G4" s="37" t="s">
        <v>54</v>
      </c>
      <c r="H4" s="37" t="s">
        <v>53</v>
      </c>
      <c r="I4" s="37" t="s">
        <v>53</v>
      </c>
      <c r="J4" s="37" t="s">
        <v>53</v>
      </c>
      <c r="K4" s="37" t="s">
        <v>53</v>
      </c>
      <c r="L4" s="37" t="s">
        <v>53</v>
      </c>
      <c r="M4" s="37" t="s">
        <v>53</v>
      </c>
      <c r="N4" s="37" t="s">
        <v>54</v>
      </c>
      <c r="O4" s="37" t="s">
        <v>53</v>
      </c>
      <c r="P4" s="27" t="str">
        <f t="shared" si="0"/>
        <v>ФКУЗ "МСЧ МВД России по Псковской области"</v>
      </c>
      <c r="Q4" s="28" t="s">
        <v>63</v>
      </c>
      <c r="R4" s="44">
        <v>231928.2</v>
      </c>
      <c r="S4" s="29" t="s">
        <v>64</v>
      </c>
      <c r="T4" s="27" t="str">
        <f t="shared" si="1"/>
        <v>Поставка лекарственных средств</v>
      </c>
      <c r="U4" s="31">
        <v>41912.901365740698</v>
      </c>
      <c r="V4" s="27" t="str">
        <f>HYPERLINK("http://www.spark-marketing.ru/Participants/CardMain?id=418813", "ЗАО ""СИА Интернейшнл - Великий Новгород""")</f>
        <v>ЗАО "СИА Интернейшнл - Великий Новгород"</v>
      </c>
      <c r="W4" s="28" t="s">
        <v>67</v>
      </c>
      <c r="X4" s="29" t="s">
        <v>12</v>
      </c>
      <c r="Y4" s="44">
        <v>104468.42</v>
      </c>
      <c r="Z4" s="45">
        <v>0.54956568455237442</v>
      </c>
      <c r="AA4" s="30" t="s">
        <v>56</v>
      </c>
      <c r="AB4" s="46">
        <v>7</v>
      </c>
      <c r="AC4" s="30" t="s">
        <v>60</v>
      </c>
      <c r="AD4" s="29" t="s">
        <v>53</v>
      </c>
      <c r="AE4" s="44" t="s">
        <v>53</v>
      </c>
      <c r="AF4" s="29" t="s">
        <v>53</v>
      </c>
      <c r="AG4" s="36" t="s">
        <v>53</v>
      </c>
      <c r="AH4" s="32" t="str">
        <f t="shared" si="2"/>
        <v>ссылка</v>
      </c>
    </row>
    <row r="5" spans="2:34" outlineLevel="1" x14ac:dyDescent="0.15">
      <c r="B5" s="34">
        <v>2</v>
      </c>
      <c r="C5" s="43" t="s">
        <v>62</v>
      </c>
      <c r="D5" s="35" t="s">
        <v>53</v>
      </c>
      <c r="E5" s="37" t="s">
        <v>53</v>
      </c>
      <c r="F5" s="37" t="s">
        <v>54</v>
      </c>
      <c r="G5" s="37" t="s">
        <v>54</v>
      </c>
      <c r="H5" s="37" t="s">
        <v>53</v>
      </c>
      <c r="I5" s="37" t="s">
        <v>53</v>
      </c>
      <c r="J5" s="37" t="s">
        <v>53</v>
      </c>
      <c r="K5" s="37" t="s">
        <v>53</v>
      </c>
      <c r="L5" s="37" t="s">
        <v>53</v>
      </c>
      <c r="M5" s="37" t="s">
        <v>53</v>
      </c>
      <c r="N5" s="37" t="s">
        <v>54</v>
      </c>
      <c r="O5" s="37" t="s">
        <v>53</v>
      </c>
      <c r="P5" s="27" t="str">
        <f t="shared" si="0"/>
        <v>ФКУЗ "МСЧ МВД России по Псковской области"</v>
      </c>
      <c r="Q5" s="28" t="s">
        <v>63</v>
      </c>
      <c r="R5" s="44">
        <v>231928.2</v>
      </c>
      <c r="S5" s="29" t="s">
        <v>64</v>
      </c>
      <c r="T5" s="27" t="str">
        <f t="shared" si="1"/>
        <v>Поставка лекарственных средств</v>
      </c>
      <c r="U5" s="31">
        <v>41912.901365740698</v>
      </c>
      <c r="V5" s="27" t="str">
        <f>HYPERLINK("http://www.spark-marketing.ru/Participants/CardMain?id=21037", "ЗАО ""АЙПАРА - СПБ""")</f>
        <v>ЗАО "АЙПАРА - СПБ"</v>
      </c>
      <c r="W5" s="28" t="s">
        <v>68</v>
      </c>
      <c r="X5" s="29" t="s">
        <v>53</v>
      </c>
      <c r="Y5" s="44">
        <v>107002.71</v>
      </c>
      <c r="Z5" s="45">
        <v>0.5386386390270782</v>
      </c>
      <c r="AA5" s="30" t="s">
        <v>56</v>
      </c>
      <c r="AB5" s="46">
        <v>7</v>
      </c>
      <c r="AC5" s="30" t="s">
        <v>60</v>
      </c>
      <c r="AD5" s="29" t="s">
        <v>53</v>
      </c>
      <c r="AE5" s="44" t="s">
        <v>53</v>
      </c>
      <c r="AF5" s="29" t="s">
        <v>53</v>
      </c>
      <c r="AG5" s="36" t="s">
        <v>53</v>
      </c>
      <c r="AH5" s="32" t="str">
        <f t="shared" si="2"/>
        <v>ссылка</v>
      </c>
    </row>
    <row r="6" spans="2:34" outlineLevel="1" x14ac:dyDescent="0.15">
      <c r="B6" s="34">
        <v>2</v>
      </c>
      <c r="C6" s="43" t="s">
        <v>62</v>
      </c>
      <c r="D6" s="35" t="s">
        <v>53</v>
      </c>
      <c r="E6" s="37" t="s">
        <v>53</v>
      </c>
      <c r="F6" s="37" t="s">
        <v>54</v>
      </c>
      <c r="G6" s="37" t="s">
        <v>54</v>
      </c>
      <c r="H6" s="37" t="s">
        <v>53</v>
      </c>
      <c r="I6" s="37" t="s">
        <v>53</v>
      </c>
      <c r="J6" s="37" t="s">
        <v>53</v>
      </c>
      <c r="K6" s="37" t="s">
        <v>53</v>
      </c>
      <c r="L6" s="37" t="s">
        <v>53</v>
      </c>
      <c r="M6" s="37" t="s">
        <v>53</v>
      </c>
      <c r="N6" s="37" t="s">
        <v>54</v>
      </c>
      <c r="O6" s="37" t="s">
        <v>53</v>
      </c>
      <c r="P6" s="27" t="str">
        <f t="shared" si="0"/>
        <v>ФКУЗ "МСЧ МВД России по Псковской области"</v>
      </c>
      <c r="Q6" s="28" t="s">
        <v>63</v>
      </c>
      <c r="R6" s="44">
        <v>231928.2</v>
      </c>
      <c r="S6" s="29" t="s">
        <v>64</v>
      </c>
      <c r="T6" s="27" t="str">
        <f t="shared" si="1"/>
        <v>Поставка лекарственных средств</v>
      </c>
      <c r="U6" s="31">
        <v>41912.901365740698</v>
      </c>
      <c r="V6" s="27" t="str">
        <f>HYPERLINK("http://www.spark-marketing.ru/Participants/CardMain?id=1470", "ООО ""Инициатива""")</f>
        <v>ООО "Инициатива"</v>
      </c>
      <c r="W6" s="28" t="s">
        <v>69</v>
      </c>
      <c r="X6" s="29" t="s">
        <v>53</v>
      </c>
      <c r="Y6" s="44">
        <v>108162.35</v>
      </c>
      <c r="Z6" s="45">
        <v>0.53363864333875743</v>
      </c>
      <c r="AA6" s="30" t="s">
        <v>56</v>
      </c>
      <c r="AB6" s="46">
        <v>7</v>
      </c>
      <c r="AC6" s="30" t="s">
        <v>60</v>
      </c>
      <c r="AD6" s="29" t="s">
        <v>53</v>
      </c>
      <c r="AE6" s="44" t="s">
        <v>53</v>
      </c>
      <c r="AF6" s="29" t="s">
        <v>53</v>
      </c>
      <c r="AG6" s="36" t="s">
        <v>53</v>
      </c>
      <c r="AH6" s="32" t="str">
        <f t="shared" si="2"/>
        <v>ссылка</v>
      </c>
    </row>
    <row r="7" spans="2:34" outlineLevel="1" x14ac:dyDescent="0.15">
      <c r="B7" s="34">
        <v>2</v>
      </c>
      <c r="C7" s="43" t="s">
        <v>62</v>
      </c>
      <c r="D7" s="35" t="s">
        <v>53</v>
      </c>
      <c r="E7" s="37" t="s">
        <v>53</v>
      </c>
      <c r="F7" s="37" t="s">
        <v>54</v>
      </c>
      <c r="G7" s="37" t="s">
        <v>54</v>
      </c>
      <c r="H7" s="37" t="s">
        <v>53</v>
      </c>
      <c r="I7" s="37" t="s">
        <v>53</v>
      </c>
      <c r="J7" s="37" t="s">
        <v>53</v>
      </c>
      <c r="K7" s="37" t="s">
        <v>53</v>
      </c>
      <c r="L7" s="37" t="s">
        <v>53</v>
      </c>
      <c r="M7" s="37" t="s">
        <v>53</v>
      </c>
      <c r="N7" s="37" t="s">
        <v>54</v>
      </c>
      <c r="O7" s="37" t="s">
        <v>53</v>
      </c>
      <c r="P7" s="27" t="str">
        <f t="shared" si="0"/>
        <v>ФКУЗ "МСЧ МВД России по Псковской области"</v>
      </c>
      <c r="Q7" s="28" t="s">
        <v>63</v>
      </c>
      <c r="R7" s="44">
        <v>231928.2</v>
      </c>
      <c r="S7" s="29" t="s">
        <v>64</v>
      </c>
      <c r="T7" s="27" t="str">
        <f t="shared" si="1"/>
        <v>Поставка лекарственных средств</v>
      </c>
      <c r="U7" s="31">
        <v>41912.901365740698</v>
      </c>
      <c r="V7" s="27" t="str">
        <f>HYPERLINK("http://www.spark-marketing.ru/Participants/CardMain?id=24752", "ЗАО ""НОРДБЕР-ТРАНСФАРМ""")</f>
        <v>ЗАО "НОРДБЕР-ТРАНСФАРМ"</v>
      </c>
      <c r="W7" s="28" t="s">
        <v>70</v>
      </c>
      <c r="X7" s="29" t="s">
        <v>53</v>
      </c>
      <c r="Y7" s="44">
        <v>110325.4</v>
      </c>
      <c r="Z7" s="45">
        <v>0.52431226560633848</v>
      </c>
      <c r="AA7" s="30" t="s">
        <v>56</v>
      </c>
      <c r="AB7" s="46">
        <v>7</v>
      </c>
      <c r="AC7" s="30" t="s">
        <v>60</v>
      </c>
      <c r="AD7" s="29" t="s">
        <v>53</v>
      </c>
      <c r="AE7" s="44" t="s">
        <v>53</v>
      </c>
      <c r="AF7" s="29" t="s">
        <v>53</v>
      </c>
      <c r="AG7" s="36" t="s">
        <v>53</v>
      </c>
      <c r="AH7" s="32" t="str">
        <f t="shared" si="2"/>
        <v>ссылка</v>
      </c>
    </row>
    <row r="8" spans="2:34" outlineLevel="1" x14ac:dyDescent="0.15">
      <c r="B8" s="34">
        <v>2</v>
      </c>
      <c r="C8" s="43" t="s">
        <v>62</v>
      </c>
      <c r="D8" s="35" t="s">
        <v>53</v>
      </c>
      <c r="E8" s="37" t="s">
        <v>53</v>
      </c>
      <c r="F8" s="37" t="s">
        <v>54</v>
      </c>
      <c r="G8" s="37" t="s">
        <v>54</v>
      </c>
      <c r="H8" s="37" t="s">
        <v>53</v>
      </c>
      <c r="I8" s="37" t="s">
        <v>53</v>
      </c>
      <c r="J8" s="37" t="s">
        <v>53</v>
      </c>
      <c r="K8" s="37" t="s">
        <v>53</v>
      </c>
      <c r="L8" s="37" t="s">
        <v>53</v>
      </c>
      <c r="M8" s="37" t="s">
        <v>53</v>
      </c>
      <c r="N8" s="37" t="s">
        <v>54</v>
      </c>
      <c r="O8" s="37" t="s">
        <v>53</v>
      </c>
      <c r="P8" s="27" t="str">
        <f t="shared" si="0"/>
        <v>ФКУЗ "МСЧ МВД России по Псковской области"</v>
      </c>
      <c r="Q8" s="28" t="s">
        <v>63</v>
      </c>
      <c r="R8" s="44">
        <v>231928.2</v>
      </c>
      <c r="S8" s="29" t="s">
        <v>64</v>
      </c>
      <c r="T8" s="27" t="str">
        <f t="shared" si="1"/>
        <v>Поставка лекарственных средств</v>
      </c>
      <c r="U8" s="31">
        <v>41912.901365740698</v>
      </c>
      <c r="V8" s="27" t="str">
        <f>HYPERLINK("http://www.spark-marketing.ru/Participants/CardMain?id=24601", "ООО ""ПрофитМед СПб""")</f>
        <v>ООО "ПрофитМед СПб"</v>
      </c>
      <c r="W8" s="28" t="s">
        <v>71</v>
      </c>
      <c r="X8" s="29" t="s">
        <v>53</v>
      </c>
      <c r="Y8" s="44">
        <v>131436.17000000001</v>
      </c>
      <c r="Z8" s="45">
        <v>0.43328939732210225</v>
      </c>
      <c r="AA8" s="30" t="s">
        <v>56</v>
      </c>
      <c r="AB8" s="46">
        <v>7</v>
      </c>
      <c r="AC8" s="30" t="s">
        <v>60</v>
      </c>
      <c r="AD8" s="29" t="s">
        <v>53</v>
      </c>
      <c r="AE8" s="44" t="s">
        <v>53</v>
      </c>
      <c r="AF8" s="29" t="s">
        <v>53</v>
      </c>
      <c r="AG8" s="36" t="s">
        <v>53</v>
      </c>
      <c r="AH8" s="32" t="str">
        <f t="shared" si="2"/>
        <v>ссылка</v>
      </c>
    </row>
    <row r="9" spans="2:34" outlineLevel="1" x14ac:dyDescent="0.15">
      <c r="B9" s="34">
        <v>2</v>
      </c>
      <c r="C9" s="43" t="s">
        <v>62</v>
      </c>
      <c r="D9" s="35" t="s">
        <v>53</v>
      </c>
      <c r="E9" s="37" t="s">
        <v>53</v>
      </c>
      <c r="F9" s="37" t="s">
        <v>54</v>
      </c>
      <c r="G9" s="37" t="s">
        <v>54</v>
      </c>
      <c r="H9" s="37" t="s">
        <v>53</v>
      </c>
      <c r="I9" s="37" t="s">
        <v>53</v>
      </c>
      <c r="J9" s="37" t="s">
        <v>53</v>
      </c>
      <c r="K9" s="37" t="s">
        <v>53</v>
      </c>
      <c r="L9" s="37" t="s">
        <v>53</v>
      </c>
      <c r="M9" s="37" t="s">
        <v>53</v>
      </c>
      <c r="N9" s="37" t="s">
        <v>54</v>
      </c>
      <c r="O9" s="37" t="s">
        <v>53</v>
      </c>
      <c r="P9" s="27" t="str">
        <f t="shared" si="0"/>
        <v>ФКУЗ "МСЧ МВД России по Псковской области"</v>
      </c>
      <c r="Q9" s="28" t="s">
        <v>63</v>
      </c>
      <c r="R9" s="44">
        <v>231928.2</v>
      </c>
      <c r="S9" s="29" t="s">
        <v>64</v>
      </c>
      <c r="T9" s="27" t="str">
        <f t="shared" si="1"/>
        <v>Поставка лекарственных средств</v>
      </c>
      <c r="U9" s="31">
        <v>41912.901365740698</v>
      </c>
      <c r="V9" s="27" t="str">
        <f>HYPERLINK("http://www.spark-marketing.ru/Participants/CardMain?id=4740", "ООО ""ЦЕНТРОФАРМА""")</f>
        <v>ООО "ЦЕНТРОФАРМА"</v>
      </c>
      <c r="W9" s="28" t="s">
        <v>72</v>
      </c>
      <c r="X9" s="29" t="s">
        <v>53</v>
      </c>
      <c r="Y9" s="44">
        <v>134681.76999999999</v>
      </c>
      <c r="Z9" s="45">
        <v>0.41929541125227549</v>
      </c>
      <c r="AA9" s="30" t="s">
        <v>56</v>
      </c>
      <c r="AB9" s="46">
        <v>7</v>
      </c>
      <c r="AC9" s="30" t="s">
        <v>60</v>
      </c>
      <c r="AD9" s="29" t="s">
        <v>53</v>
      </c>
      <c r="AE9" s="44" t="s">
        <v>53</v>
      </c>
      <c r="AF9" s="29" t="s">
        <v>53</v>
      </c>
      <c r="AG9" s="36" t="s">
        <v>53</v>
      </c>
      <c r="AH9" s="32" t="str">
        <f t="shared" si="2"/>
        <v>ссылка</v>
      </c>
    </row>
    <row r="10" spans="2:34" outlineLevel="1" x14ac:dyDescent="0.15">
      <c r="B10" s="34">
        <v>2</v>
      </c>
      <c r="C10" s="43" t="s">
        <v>62</v>
      </c>
      <c r="D10" s="35" t="s">
        <v>53</v>
      </c>
      <c r="E10" s="37" t="s">
        <v>53</v>
      </c>
      <c r="F10" s="37" t="s">
        <v>54</v>
      </c>
      <c r="G10" s="37" t="s">
        <v>54</v>
      </c>
      <c r="H10" s="37" t="s">
        <v>53</v>
      </c>
      <c r="I10" s="37" t="s">
        <v>53</v>
      </c>
      <c r="J10" s="37" t="s">
        <v>53</v>
      </c>
      <c r="K10" s="37" t="s">
        <v>53</v>
      </c>
      <c r="L10" s="37" t="s">
        <v>53</v>
      </c>
      <c r="M10" s="37" t="s">
        <v>53</v>
      </c>
      <c r="N10" s="37" t="s">
        <v>54</v>
      </c>
      <c r="O10" s="37" t="s">
        <v>53</v>
      </c>
      <c r="P10" s="27" t="str">
        <f t="shared" si="0"/>
        <v>ФКУЗ "МСЧ МВД России по Псковской области"</v>
      </c>
      <c r="Q10" s="28" t="s">
        <v>63</v>
      </c>
      <c r="R10" s="44">
        <v>231928.2</v>
      </c>
      <c r="S10" s="29" t="s">
        <v>64</v>
      </c>
      <c r="T10" s="27" t="str">
        <f t="shared" si="1"/>
        <v>Поставка лекарственных средств</v>
      </c>
      <c r="U10" s="31">
        <v>41912.901365740698</v>
      </c>
      <c r="V10" s="27" t="str">
        <f>HYPERLINK("http://www.spark-marketing.ru/Participants/CardMain?id=14769", "ООО ""ПРОМЕТЕЙ""")</f>
        <v>ООО "ПРОМЕТЕЙ"</v>
      </c>
      <c r="W10" s="28" t="s">
        <v>73</v>
      </c>
      <c r="X10" s="29" t="s">
        <v>53</v>
      </c>
      <c r="Y10" s="44">
        <v>184554.29</v>
      </c>
      <c r="Z10" s="45">
        <v>0.20426110322073815</v>
      </c>
      <c r="AA10" s="30" t="s">
        <v>56</v>
      </c>
      <c r="AB10" s="46">
        <v>7</v>
      </c>
      <c r="AC10" s="30" t="s">
        <v>60</v>
      </c>
      <c r="AD10" s="29" t="s">
        <v>53</v>
      </c>
      <c r="AE10" s="44" t="s">
        <v>53</v>
      </c>
      <c r="AF10" s="29" t="s">
        <v>53</v>
      </c>
      <c r="AG10" s="36" t="s">
        <v>53</v>
      </c>
      <c r="AH10" s="32" t="str">
        <f t="shared" si="2"/>
        <v>ссылка</v>
      </c>
    </row>
    <row r="11" spans="2:34" x14ac:dyDescent="0.15">
      <c r="B11" s="34">
        <v>1</v>
      </c>
      <c r="C11" s="43" t="s">
        <v>74</v>
      </c>
      <c r="D11" s="35" t="s">
        <v>53</v>
      </c>
      <c r="E11" s="37" t="s">
        <v>53</v>
      </c>
      <c r="F11" s="37" t="s">
        <v>53</v>
      </c>
      <c r="G11" s="37" t="s">
        <v>54</v>
      </c>
      <c r="H11" s="37" t="s">
        <v>53</v>
      </c>
      <c r="I11" s="37" t="s">
        <v>53</v>
      </c>
      <c r="J11" s="37" t="s">
        <v>53</v>
      </c>
      <c r="K11" s="37" t="s">
        <v>53</v>
      </c>
      <c r="L11" s="37" t="s">
        <v>53</v>
      </c>
      <c r="M11" s="37" t="s">
        <v>53</v>
      </c>
      <c r="N11" s="37" t="s">
        <v>53</v>
      </c>
      <c r="O11" s="37" t="s">
        <v>53</v>
      </c>
      <c r="P11" s="27" t="str">
        <f>HYPERLINK("http://www.spark-marketing.ru/Participants/CardMain?id=415193", "ГНУ НИВИ НЗ Россельхозакадемии")</f>
        <v>ГНУ НИВИ НЗ Россельхозакадемии</v>
      </c>
      <c r="Q11" s="28" t="s">
        <v>75</v>
      </c>
      <c r="R11" s="44">
        <v>1438773</v>
      </c>
      <c r="S11" s="29" t="s">
        <v>76</v>
      </c>
      <c r="T11" s="27" t="str">
        <f>HYPERLINK("http://www.spark-marketing.ru/Purchases/CardMain?packId=210079635", "на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Б1")</f>
        <v>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</v>
      </c>
      <c r="U11" s="31">
        <v>41912.899398148104</v>
      </c>
      <c r="V11" s="27" t="s">
        <v>53</v>
      </c>
      <c r="W11" s="28" t="s">
        <v>53</v>
      </c>
      <c r="X11" s="29" t="s">
        <v>53</v>
      </c>
      <c r="Y11" s="44" t="s">
        <v>53</v>
      </c>
      <c r="Z11" s="45" t="s">
        <v>53</v>
      </c>
      <c r="AA11" s="30" t="s">
        <v>56</v>
      </c>
      <c r="AB11" s="46">
        <v>4</v>
      </c>
      <c r="AC11" s="30" t="s">
        <v>60</v>
      </c>
      <c r="AD11" s="29" t="s">
        <v>76</v>
      </c>
      <c r="AE11" s="44">
        <v>1251570.23</v>
      </c>
      <c r="AF11" s="29" t="s">
        <v>77</v>
      </c>
      <c r="AG11" s="36" t="s">
        <v>78</v>
      </c>
      <c r="AH11" s="32" t="str">
        <f>HYPERLINK("http://zakupki.gov.ru/epz/order/notice/ea44/view/common-info.html?regNumber=0332100035314000004", "ссылка")</f>
        <v>ссылка</v>
      </c>
    </row>
    <row r="12" spans="2:34" outlineLevel="1" x14ac:dyDescent="0.15">
      <c r="B12" s="34">
        <v>2</v>
      </c>
      <c r="C12" s="43" t="s">
        <v>74</v>
      </c>
      <c r="D12" s="35" t="s">
        <v>53</v>
      </c>
      <c r="E12" s="37" t="s">
        <v>53</v>
      </c>
      <c r="F12" s="37" t="s">
        <v>53</v>
      </c>
      <c r="G12" s="37" t="s">
        <v>54</v>
      </c>
      <c r="H12" s="37" t="s">
        <v>53</v>
      </c>
      <c r="I12" s="37" t="s">
        <v>53</v>
      </c>
      <c r="J12" s="37" t="s">
        <v>53</v>
      </c>
      <c r="K12" s="37" t="s">
        <v>53</v>
      </c>
      <c r="L12" s="37" t="s">
        <v>53</v>
      </c>
      <c r="M12" s="37" t="s">
        <v>53</v>
      </c>
      <c r="N12" s="37" t="s">
        <v>53</v>
      </c>
      <c r="O12" s="37" t="s">
        <v>53</v>
      </c>
      <c r="P12" s="27" t="str">
        <f>HYPERLINK("http://www.spark-marketing.ru/Participants/CardMain?id=415193", "ГНУ НИВИ НЗ Россельхозакадемии")</f>
        <v>ГНУ НИВИ НЗ Россельхозакадемии</v>
      </c>
      <c r="Q12" s="28" t="s">
        <v>75</v>
      </c>
      <c r="R12" s="44">
        <v>1438773</v>
      </c>
      <c r="S12" s="29" t="s">
        <v>76</v>
      </c>
      <c r="T12" s="27" t="str">
        <f>HYPERLINK("http://www.spark-marketing.ru/Purchases/CardMain?packId=210079635", "на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Б1")</f>
        <v>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</v>
      </c>
      <c r="U12" s="31">
        <v>41912.899398148104</v>
      </c>
      <c r="V12" s="27" t="str">
        <f>HYPERLINK("http://www.spark-marketing.ru/Participants/CardMain?id=416373", "ООО ""ДТД""")</f>
        <v>ООО "ДТД"</v>
      </c>
      <c r="W12" s="28" t="s">
        <v>78</v>
      </c>
      <c r="X12" s="29" t="s">
        <v>12</v>
      </c>
      <c r="Y12" s="44">
        <v>1143441.22</v>
      </c>
      <c r="Z12" s="45">
        <v>0.20526641798254486</v>
      </c>
      <c r="AA12" s="30" t="s">
        <v>56</v>
      </c>
      <c r="AB12" s="46">
        <v>4</v>
      </c>
      <c r="AC12" s="30" t="s">
        <v>60</v>
      </c>
      <c r="AD12" s="29" t="s">
        <v>53</v>
      </c>
      <c r="AE12" s="44" t="s">
        <v>53</v>
      </c>
      <c r="AF12" s="29" t="s">
        <v>53</v>
      </c>
      <c r="AG12" s="36" t="s">
        <v>53</v>
      </c>
      <c r="AH12" s="32" t="str">
        <f>HYPERLINK("http://zakupki.gov.ru/epz/order/notice/ea44/view/common-info.html?regNumber=0332100035314000004", "ссылка")</f>
        <v>ссылка</v>
      </c>
    </row>
    <row r="13" spans="2:34" outlineLevel="1" x14ac:dyDescent="0.15">
      <c r="B13" s="34">
        <v>2</v>
      </c>
      <c r="C13" s="43" t="s">
        <v>74</v>
      </c>
      <c r="D13" s="35" t="s">
        <v>53</v>
      </c>
      <c r="E13" s="37" t="s">
        <v>53</v>
      </c>
      <c r="F13" s="37" t="s">
        <v>53</v>
      </c>
      <c r="G13" s="37" t="s">
        <v>54</v>
      </c>
      <c r="H13" s="37" t="s">
        <v>53</v>
      </c>
      <c r="I13" s="37" t="s">
        <v>53</v>
      </c>
      <c r="J13" s="37" t="s">
        <v>53</v>
      </c>
      <c r="K13" s="37" t="s">
        <v>53</v>
      </c>
      <c r="L13" s="37" t="s">
        <v>53</v>
      </c>
      <c r="M13" s="37" t="s">
        <v>53</v>
      </c>
      <c r="N13" s="37" t="s">
        <v>53</v>
      </c>
      <c r="O13" s="37" t="s">
        <v>53</v>
      </c>
      <c r="P13" s="27" t="str">
        <f>HYPERLINK("http://www.spark-marketing.ru/Participants/CardMain?id=415193", "ГНУ НИВИ НЗ Россельхозакадемии")</f>
        <v>ГНУ НИВИ НЗ Россельхозакадемии</v>
      </c>
      <c r="Q13" s="28" t="s">
        <v>75</v>
      </c>
      <c r="R13" s="44">
        <v>1438773</v>
      </c>
      <c r="S13" s="29" t="s">
        <v>76</v>
      </c>
      <c r="T13" s="27" t="str">
        <f>HYPERLINK("http://www.spark-marketing.ru/Purchases/CardMain?packId=210079635", "на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Б1")</f>
        <v>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</v>
      </c>
      <c r="U13" s="31">
        <v>41912.899398148104</v>
      </c>
      <c r="V13" s="27" t="str">
        <f>HYPERLINK("http://www.spark-marketing.ru/Participants/CardMain?id=407720", "ООО ""Строительно-монтажное управление - НН""")</f>
        <v>ООО "Строительно-монтажное управление - НН"</v>
      </c>
      <c r="W13" s="28" t="s">
        <v>79</v>
      </c>
      <c r="X13" s="29" t="s">
        <v>53</v>
      </c>
      <c r="Y13" s="44">
        <v>1150635.0900000001</v>
      </c>
      <c r="Z13" s="45">
        <v>0.20026641450736149</v>
      </c>
      <c r="AA13" s="30" t="s">
        <v>56</v>
      </c>
      <c r="AB13" s="46">
        <v>4</v>
      </c>
      <c r="AC13" s="30" t="s">
        <v>60</v>
      </c>
      <c r="AD13" s="29" t="s">
        <v>53</v>
      </c>
      <c r="AE13" s="44" t="s">
        <v>53</v>
      </c>
      <c r="AF13" s="29" t="s">
        <v>53</v>
      </c>
      <c r="AG13" s="36" t="s">
        <v>53</v>
      </c>
      <c r="AH13" s="32" t="str">
        <f>HYPERLINK("http://zakupki.gov.ru/epz/order/notice/ea44/view/common-info.html?regNumber=0332100035314000004", "ссылка")</f>
        <v>ссылка</v>
      </c>
    </row>
    <row r="14" spans="2:34" outlineLevel="1" x14ac:dyDescent="0.15">
      <c r="B14" s="34">
        <v>2</v>
      </c>
      <c r="C14" s="43" t="s">
        <v>74</v>
      </c>
      <c r="D14" s="35" t="s">
        <v>53</v>
      </c>
      <c r="E14" s="37" t="s">
        <v>53</v>
      </c>
      <c r="F14" s="37" t="s">
        <v>53</v>
      </c>
      <c r="G14" s="37" t="s">
        <v>54</v>
      </c>
      <c r="H14" s="37" t="s">
        <v>53</v>
      </c>
      <c r="I14" s="37" t="s">
        <v>53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27" t="str">
        <f>HYPERLINK("http://www.spark-marketing.ru/Participants/CardMain?id=415193", "ГНУ НИВИ НЗ Россельхозакадемии")</f>
        <v>ГНУ НИВИ НЗ Россельхозакадемии</v>
      </c>
      <c r="Q14" s="28" t="s">
        <v>75</v>
      </c>
      <c r="R14" s="44">
        <v>1438773</v>
      </c>
      <c r="S14" s="29" t="s">
        <v>76</v>
      </c>
      <c r="T14" s="27" t="str">
        <f>HYPERLINK("http://www.spark-marketing.ru/Purchases/CardMain?packId=210079635", "на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Б1")</f>
        <v>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</v>
      </c>
      <c r="U14" s="31">
        <v>41912.899398148104</v>
      </c>
      <c r="V14" s="27" t="str">
        <f>HYPERLINK("http://www.spark-marketing.ru/Participants/CardMain?id=410263", "ЗАО ""РегионЭнергоСтрой-НН""")</f>
        <v>ЗАО "РегионЭнергоСтрой-НН"</v>
      </c>
      <c r="W14" s="28" t="s">
        <v>80</v>
      </c>
      <c r="X14" s="29" t="s">
        <v>53</v>
      </c>
      <c r="Y14" s="44">
        <v>1186604.44</v>
      </c>
      <c r="Z14" s="45">
        <v>0.17526639713144465</v>
      </c>
      <c r="AA14" s="30" t="s">
        <v>56</v>
      </c>
      <c r="AB14" s="46">
        <v>4</v>
      </c>
      <c r="AC14" s="30" t="s">
        <v>60</v>
      </c>
      <c r="AD14" s="29" t="s">
        <v>53</v>
      </c>
      <c r="AE14" s="44" t="s">
        <v>53</v>
      </c>
      <c r="AF14" s="29" t="s">
        <v>53</v>
      </c>
      <c r="AG14" s="36" t="s">
        <v>53</v>
      </c>
      <c r="AH14" s="32" t="str">
        <f>HYPERLINK("http://zakupki.gov.ru/epz/order/notice/ea44/view/common-info.html?regNumber=0332100035314000004", "ссылка")</f>
        <v>ссылка</v>
      </c>
    </row>
    <row r="15" spans="2:34" outlineLevel="1" x14ac:dyDescent="0.15">
      <c r="B15" s="34">
        <v>2</v>
      </c>
      <c r="C15" s="43" t="s">
        <v>74</v>
      </c>
      <c r="D15" s="35" t="s">
        <v>53</v>
      </c>
      <c r="E15" s="37" t="s">
        <v>53</v>
      </c>
      <c r="F15" s="37" t="s">
        <v>53</v>
      </c>
      <c r="G15" s="37" t="s">
        <v>54</v>
      </c>
      <c r="H15" s="37" t="s">
        <v>53</v>
      </c>
      <c r="I15" s="37" t="s">
        <v>53</v>
      </c>
      <c r="J15" s="37" t="s">
        <v>53</v>
      </c>
      <c r="K15" s="37" t="s">
        <v>53</v>
      </c>
      <c r="L15" s="37" t="s">
        <v>53</v>
      </c>
      <c r="M15" s="37" t="s">
        <v>53</v>
      </c>
      <c r="N15" s="37" t="s">
        <v>53</v>
      </c>
      <c r="O15" s="37" t="s">
        <v>53</v>
      </c>
      <c r="P15" s="27" t="str">
        <f>HYPERLINK("http://www.spark-marketing.ru/Participants/CardMain?id=415193", "ГНУ НИВИ НЗ Россельхозакадемии")</f>
        <v>ГНУ НИВИ НЗ Россельхозакадемии</v>
      </c>
      <c r="Q15" s="28" t="s">
        <v>75</v>
      </c>
      <c r="R15" s="44">
        <v>1438773</v>
      </c>
      <c r="S15" s="29" t="s">
        <v>76</v>
      </c>
      <c r="T15" s="27" t="str">
        <f>HYPERLINK("http://www.spark-marketing.ru/Purchases/CardMain?packId=210079635", "на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Б1")</f>
        <v>на выполнение капитального ремонта кровли здания ГНУ НИВИ НЗ Россельхозакадемии, здания склада и гаража, расположенных по адресу город Нижний Новгород, ул. Ветеринарная, д. 3, литер А, Б, Б1</v>
      </c>
      <c r="U15" s="31">
        <v>41912.899398148104</v>
      </c>
      <c r="V15" s="27" t="str">
        <f>HYPERLINK("http://www.spark-marketing.ru/Participants/CardMain?id=410359", "ООО ""СК-РемСтрой""")</f>
        <v>ООО "СК-РемСтрой"</v>
      </c>
      <c r="W15" s="28" t="s">
        <v>81</v>
      </c>
      <c r="X15" s="29" t="s">
        <v>53</v>
      </c>
      <c r="Y15" s="44">
        <v>1258543.1399999999</v>
      </c>
      <c r="Z15" s="45">
        <v>0.12526636237961097</v>
      </c>
      <c r="AA15" s="30" t="s">
        <v>56</v>
      </c>
      <c r="AB15" s="46">
        <v>4</v>
      </c>
      <c r="AC15" s="30" t="s">
        <v>60</v>
      </c>
      <c r="AD15" s="29" t="s">
        <v>53</v>
      </c>
      <c r="AE15" s="44" t="s">
        <v>53</v>
      </c>
      <c r="AF15" s="29" t="s">
        <v>53</v>
      </c>
      <c r="AG15" s="36" t="s">
        <v>53</v>
      </c>
      <c r="AH15" s="32" t="str">
        <f>HYPERLINK("http://zakupki.gov.ru/epz/order/notice/ea44/view/common-info.html?regNumber=0332100035314000004", "ссылка")</f>
        <v>ссылка</v>
      </c>
    </row>
    <row r="16" spans="2:34" x14ac:dyDescent="0.15">
      <c r="B16" s="34">
        <v>1</v>
      </c>
      <c r="C16" s="43" t="s">
        <v>74</v>
      </c>
      <c r="D16" s="35" t="s">
        <v>53</v>
      </c>
      <c r="E16" s="37" t="s">
        <v>53</v>
      </c>
      <c r="F16" s="37" t="s">
        <v>53</v>
      </c>
      <c r="G16" s="37" t="s">
        <v>54</v>
      </c>
      <c r="H16" s="37" t="s">
        <v>53</v>
      </c>
      <c r="I16" s="37" t="s">
        <v>53</v>
      </c>
      <c r="J16" s="37" t="s">
        <v>53</v>
      </c>
      <c r="K16" s="37" t="s">
        <v>53</v>
      </c>
      <c r="L16" s="37" t="s">
        <v>53</v>
      </c>
      <c r="M16" s="37" t="s">
        <v>53</v>
      </c>
      <c r="N16" s="37" t="s">
        <v>53</v>
      </c>
      <c r="O16" s="37" t="s">
        <v>53</v>
      </c>
      <c r="P16" s="27" t="str">
        <f>HYPERLINK("http://www.spark-marketing.ru/Participants/CardMain?id=637022", "ФКУ ИК-4 УФСИН России по Тульской области")</f>
        <v>ФКУ ИК-4 УФСИН России по Тульской области</v>
      </c>
      <c r="Q16" s="28" t="s">
        <v>82</v>
      </c>
      <c r="R16" s="44">
        <v>720286.41</v>
      </c>
      <c r="S16" s="29" t="s">
        <v>83</v>
      </c>
      <c r="T16" s="27" t="str">
        <f>HYPERLINK("http://www.spark-marketing.ru/Purchases/CardMain?packId=212985417", "бочки полиэтиленовые")</f>
        <v>бочки полиэтиленовые</v>
      </c>
      <c r="U16" s="31">
        <v>41912.897592592599</v>
      </c>
      <c r="V16" s="27" t="s">
        <v>53</v>
      </c>
      <c r="W16" s="28" t="s">
        <v>53</v>
      </c>
      <c r="X16" s="29" t="s">
        <v>53</v>
      </c>
      <c r="Y16" s="44" t="s">
        <v>53</v>
      </c>
      <c r="Z16" s="45" t="s">
        <v>53</v>
      </c>
      <c r="AA16" s="30" t="s">
        <v>56</v>
      </c>
      <c r="AB16" s="46">
        <v>2</v>
      </c>
      <c r="AC16" s="30" t="s">
        <v>60</v>
      </c>
      <c r="AD16" s="29" t="s">
        <v>84</v>
      </c>
      <c r="AE16" s="44">
        <v>564848.38</v>
      </c>
      <c r="AF16" s="29" t="s">
        <v>85</v>
      </c>
      <c r="AG16" s="36" t="s">
        <v>86</v>
      </c>
      <c r="AH16" s="32" t="str">
        <f>HYPERLINK("http://zakupki.gov.ru/epz/order/notice/ea44/view/common-info.html?regNumber=0366100008614000044", "ссылка")</f>
        <v>ссылка</v>
      </c>
    </row>
    <row r="17" spans="2:34" outlineLevel="1" x14ac:dyDescent="0.15">
      <c r="B17" s="34">
        <v>2</v>
      </c>
      <c r="C17" s="43" t="s">
        <v>74</v>
      </c>
      <c r="D17" s="35" t="s">
        <v>53</v>
      </c>
      <c r="E17" s="37" t="s">
        <v>53</v>
      </c>
      <c r="F17" s="37" t="s">
        <v>53</v>
      </c>
      <c r="G17" s="37" t="s">
        <v>54</v>
      </c>
      <c r="H17" s="37" t="s">
        <v>53</v>
      </c>
      <c r="I17" s="37" t="s">
        <v>53</v>
      </c>
      <c r="J17" s="37" t="s">
        <v>53</v>
      </c>
      <c r="K17" s="37" t="s">
        <v>53</v>
      </c>
      <c r="L17" s="37" t="s">
        <v>53</v>
      </c>
      <c r="M17" s="37" t="s">
        <v>53</v>
      </c>
      <c r="N17" s="37" t="s">
        <v>53</v>
      </c>
      <c r="O17" s="37" t="s">
        <v>53</v>
      </c>
      <c r="P17" s="27" t="str">
        <f>HYPERLINK("http://www.spark-marketing.ru/Participants/CardMain?id=637022", "ФКУ ИК-4 УФСИН России по Тульской области")</f>
        <v>ФКУ ИК-4 УФСИН России по Тульской области</v>
      </c>
      <c r="Q17" s="28" t="s">
        <v>82</v>
      </c>
      <c r="R17" s="44">
        <v>720286.41</v>
      </c>
      <c r="S17" s="29" t="s">
        <v>83</v>
      </c>
      <c r="T17" s="27" t="str">
        <f>HYPERLINK("http://www.spark-marketing.ru/Purchases/CardMain?packId=212985417", "бочки полиэтиленовые")</f>
        <v>бочки полиэтиленовые</v>
      </c>
      <c r="U17" s="31">
        <v>41912.897592592599</v>
      </c>
      <c r="V17" s="27" t="str">
        <f>HYPERLINK("http://www.spark-marketing.ru/Participants/CardMain?id=638976", "ООО ""ХИМ ТРЕСТ""")</f>
        <v>ООО "ХИМ ТРЕСТ"</v>
      </c>
      <c r="W17" s="28" t="s">
        <v>86</v>
      </c>
      <c r="X17" s="29" t="s">
        <v>12</v>
      </c>
      <c r="Y17" s="44">
        <v>564849.5</v>
      </c>
      <c r="Z17" s="45">
        <v>0.21579875427609416</v>
      </c>
      <c r="AA17" s="30" t="s">
        <v>56</v>
      </c>
      <c r="AB17" s="46">
        <v>2</v>
      </c>
      <c r="AC17" s="30" t="s">
        <v>60</v>
      </c>
      <c r="AD17" s="29" t="s">
        <v>53</v>
      </c>
      <c r="AE17" s="44" t="s">
        <v>53</v>
      </c>
      <c r="AF17" s="29" t="s">
        <v>53</v>
      </c>
      <c r="AG17" s="36" t="s">
        <v>53</v>
      </c>
      <c r="AH17" s="32" t="str">
        <f>HYPERLINK("http://zakupki.gov.ru/epz/order/notice/ea44/view/common-info.html?regNumber=0366100008614000044", "ссылка")</f>
        <v>ссылка</v>
      </c>
    </row>
    <row r="18" spans="2:34" outlineLevel="1" x14ac:dyDescent="0.15">
      <c r="B18" s="34">
        <v>2</v>
      </c>
      <c r="C18" s="43" t="s">
        <v>74</v>
      </c>
      <c r="D18" s="35" t="s">
        <v>53</v>
      </c>
      <c r="E18" s="37" t="s">
        <v>53</v>
      </c>
      <c r="F18" s="37" t="s">
        <v>53</v>
      </c>
      <c r="G18" s="37" t="s">
        <v>54</v>
      </c>
      <c r="H18" s="37" t="s">
        <v>53</v>
      </c>
      <c r="I18" s="37" t="s">
        <v>53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 t="s">
        <v>53</v>
      </c>
      <c r="P18" s="27" t="str">
        <f>HYPERLINK("http://www.spark-marketing.ru/Participants/CardMain?id=637022", "ФКУ ИК-4 УФСИН России по Тульской области")</f>
        <v>ФКУ ИК-4 УФСИН России по Тульской области</v>
      </c>
      <c r="Q18" s="28" t="s">
        <v>82</v>
      </c>
      <c r="R18" s="44">
        <v>720286.41</v>
      </c>
      <c r="S18" s="29" t="s">
        <v>83</v>
      </c>
      <c r="T18" s="27" t="str">
        <f>HYPERLINK("http://www.spark-marketing.ru/Purchases/CardMain?packId=212985417", "бочки полиэтиленовые")</f>
        <v>бочки полиэтиленовые</v>
      </c>
      <c r="U18" s="31">
        <v>41912.897592592599</v>
      </c>
      <c r="V18" s="27" t="str">
        <f>HYPERLINK("http://www.spark-marketing.ru/Participants/CardMain?id=979246", "ЗАО ""ЗТИ""")</f>
        <v>ЗАО "ЗТИ"</v>
      </c>
      <c r="W18" s="28" t="s">
        <v>87</v>
      </c>
      <c r="X18" s="29" t="s">
        <v>53</v>
      </c>
      <c r="Y18" s="44">
        <v>568450.93000000005</v>
      </c>
      <c r="Z18" s="45">
        <v>0.21079875712218421</v>
      </c>
      <c r="AA18" s="30" t="s">
        <v>56</v>
      </c>
      <c r="AB18" s="46">
        <v>2</v>
      </c>
      <c r="AC18" s="30" t="s">
        <v>60</v>
      </c>
      <c r="AD18" s="29" t="s">
        <v>53</v>
      </c>
      <c r="AE18" s="44" t="s">
        <v>53</v>
      </c>
      <c r="AF18" s="29" t="s">
        <v>53</v>
      </c>
      <c r="AG18" s="36" t="s">
        <v>53</v>
      </c>
      <c r="AH18" s="32" t="str">
        <f>HYPERLINK("http://zakupki.gov.ru/epz/order/notice/ea44/view/common-info.html?regNumber=0366100008614000044", "ссылка")</f>
        <v>ссылка</v>
      </c>
    </row>
    <row r="19" spans="2:34" x14ac:dyDescent="0.15">
      <c r="B19" s="34">
        <v>1</v>
      </c>
      <c r="C19" s="43" t="s">
        <v>59</v>
      </c>
      <c r="D19" s="35" t="s">
        <v>54</v>
      </c>
      <c r="E19" s="37" t="s">
        <v>53</v>
      </c>
      <c r="F19" s="37" t="s">
        <v>53</v>
      </c>
      <c r="G19" s="37" t="s">
        <v>54</v>
      </c>
      <c r="H19" s="37" t="s">
        <v>53</v>
      </c>
      <c r="I19" s="37" t="s">
        <v>53</v>
      </c>
      <c r="J19" s="37" t="s">
        <v>53</v>
      </c>
      <c r="K19" s="37" t="s">
        <v>53</v>
      </c>
      <c r="L19" s="37" t="s">
        <v>53</v>
      </c>
      <c r="M19" s="37" t="s">
        <v>53</v>
      </c>
      <c r="N19" s="37" t="s">
        <v>53</v>
      </c>
      <c r="O19" s="37" t="s">
        <v>53</v>
      </c>
      <c r="P19" s="27" t="str">
        <f>HYPERLINK("http://www.spark-marketing.ru/Participants/CardMain?id=916252", "Управление делами Губернатора Московской области и Правительства Московской области")</f>
        <v>Управление делами Губернатора Московской области и Правительства Московской области</v>
      </c>
      <c r="Q19" s="28" t="s">
        <v>88</v>
      </c>
      <c r="R19" s="44">
        <v>7363678</v>
      </c>
      <c r="S19" s="29" t="s">
        <v>89</v>
      </c>
      <c r="T19" s="27" t="str">
        <f>HYPERLINK("http://www.spark-marketing.ru/Purchases/CardMain?packId=212976906", "Приобретение жилого помещения для государственных нужд Московской области")</f>
        <v>Приобретение жилого помещения для государственных нужд Московской области</v>
      </c>
      <c r="U19" s="31">
        <v>41912.895266203697</v>
      </c>
      <c r="V19" s="27" t="s">
        <v>53</v>
      </c>
      <c r="W19" s="28" t="s">
        <v>53</v>
      </c>
      <c r="X19" s="29" t="s">
        <v>53</v>
      </c>
      <c r="Y19" s="44" t="s">
        <v>53</v>
      </c>
      <c r="Z19" s="45" t="s">
        <v>53</v>
      </c>
      <c r="AA19" s="30" t="s">
        <v>56</v>
      </c>
      <c r="AB19" s="46">
        <v>2</v>
      </c>
      <c r="AC19" s="30" t="s">
        <v>60</v>
      </c>
      <c r="AD19" s="29" t="s">
        <v>90</v>
      </c>
      <c r="AE19" s="44">
        <v>7326856.5</v>
      </c>
      <c r="AF19" s="29" t="s">
        <v>91</v>
      </c>
      <c r="AG19" s="36" t="s">
        <v>92</v>
      </c>
      <c r="AH19" s="32" t="str">
        <f>HYPERLINK("http://zakupki.gov.ru/epz/order/notice/ea44/view/common-info.html?regNumber=0148200005014000137", "ссылка")</f>
        <v>ссылка</v>
      </c>
    </row>
    <row r="20" spans="2:34" outlineLevel="1" x14ac:dyDescent="0.15">
      <c r="B20" s="34">
        <v>2</v>
      </c>
      <c r="C20" s="43" t="s">
        <v>59</v>
      </c>
      <c r="D20" s="35" t="s">
        <v>54</v>
      </c>
      <c r="E20" s="37" t="s">
        <v>53</v>
      </c>
      <c r="F20" s="37" t="s">
        <v>53</v>
      </c>
      <c r="G20" s="37" t="s">
        <v>54</v>
      </c>
      <c r="H20" s="37" t="s">
        <v>53</v>
      </c>
      <c r="I20" s="37" t="s">
        <v>53</v>
      </c>
      <c r="J20" s="37" t="s">
        <v>53</v>
      </c>
      <c r="K20" s="37" t="s">
        <v>53</v>
      </c>
      <c r="L20" s="37" t="s">
        <v>53</v>
      </c>
      <c r="M20" s="37" t="s">
        <v>53</v>
      </c>
      <c r="N20" s="37" t="s">
        <v>53</v>
      </c>
      <c r="O20" s="37" t="s">
        <v>53</v>
      </c>
      <c r="P20" s="27" t="str">
        <f>HYPERLINK("http://www.spark-marketing.ru/Participants/CardMain?id=916252", "Управление делами Губернатора Московской области и Правительства Московской области")</f>
        <v>Управление делами Губернатора Московской области и Правительства Московской области</v>
      </c>
      <c r="Q20" s="28" t="s">
        <v>88</v>
      </c>
      <c r="R20" s="44">
        <v>7363678</v>
      </c>
      <c r="S20" s="29" t="s">
        <v>89</v>
      </c>
      <c r="T20" s="27" t="str">
        <f>HYPERLINK("http://www.spark-marketing.ru/Purchases/CardMain?packId=212976906", "Приобретение жилого помещения для государственных нужд Московской области")</f>
        <v>Приобретение жилого помещения для государственных нужд Московской области</v>
      </c>
      <c r="U20" s="31">
        <v>41912.895266203697</v>
      </c>
      <c r="V20" s="27" t="str">
        <f>HYPERLINK("http://www.spark-marketing.ru/Participants/CardMain?id=1376711", "ООО ""ОСК""")</f>
        <v>ООО "ОСК"</v>
      </c>
      <c r="W20" s="28" t="s">
        <v>92</v>
      </c>
      <c r="X20" s="29" t="s">
        <v>12</v>
      </c>
      <c r="Y20" s="44">
        <v>7326859.6100000003</v>
      </c>
      <c r="Z20" s="45">
        <v>5.0000000000000001E-3</v>
      </c>
      <c r="AA20" s="30" t="s">
        <v>56</v>
      </c>
      <c r="AB20" s="46">
        <v>2</v>
      </c>
      <c r="AC20" s="30" t="s">
        <v>60</v>
      </c>
      <c r="AD20" s="29" t="s">
        <v>53</v>
      </c>
      <c r="AE20" s="44" t="s">
        <v>53</v>
      </c>
      <c r="AF20" s="29" t="s">
        <v>53</v>
      </c>
      <c r="AG20" s="36" t="s">
        <v>53</v>
      </c>
      <c r="AH20" s="32" t="str">
        <f>HYPERLINK("http://zakupki.gov.ru/epz/order/notice/ea44/view/common-info.html?regNumber=0148200005014000137", "ссылка")</f>
        <v>ссылка</v>
      </c>
    </row>
    <row r="21" spans="2:34" outlineLevel="1" x14ac:dyDescent="0.15">
      <c r="B21" s="34">
        <v>2</v>
      </c>
      <c r="C21" s="43" t="s">
        <v>59</v>
      </c>
      <c r="D21" s="35" t="s">
        <v>54</v>
      </c>
      <c r="E21" s="37" t="s">
        <v>53</v>
      </c>
      <c r="F21" s="37" t="s">
        <v>53</v>
      </c>
      <c r="G21" s="37" t="s">
        <v>54</v>
      </c>
      <c r="H21" s="37" t="s">
        <v>53</v>
      </c>
      <c r="I21" s="37" t="s">
        <v>53</v>
      </c>
      <c r="J21" s="37" t="s">
        <v>53</v>
      </c>
      <c r="K21" s="37" t="s">
        <v>53</v>
      </c>
      <c r="L21" s="37" t="s">
        <v>53</v>
      </c>
      <c r="M21" s="37" t="s">
        <v>53</v>
      </c>
      <c r="N21" s="37" t="s">
        <v>53</v>
      </c>
      <c r="O21" s="37" t="s">
        <v>53</v>
      </c>
      <c r="P21" s="27" t="str">
        <f>HYPERLINK("http://www.spark-marketing.ru/Participants/CardMain?id=916252", "Управление делами Губернатора Московской области и Правительства Московской области")</f>
        <v>Управление делами Губернатора Московской области и Правительства Московской области</v>
      </c>
      <c r="Q21" s="28" t="s">
        <v>88</v>
      </c>
      <c r="R21" s="44">
        <v>7363678</v>
      </c>
      <c r="S21" s="29" t="s">
        <v>89</v>
      </c>
      <c r="T21" s="27" t="str">
        <f>HYPERLINK("http://www.spark-marketing.ru/Purchases/CardMain?packId=212976906", "Приобретение жилого помещения для государственных нужд Московской области")</f>
        <v>Приобретение жилого помещения для государственных нужд Московской области</v>
      </c>
      <c r="U21" s="31">
        <v>41912.895266203697</v>
      </c>
      <c r="V21" s="27" t="str">
        <f>HYPERLINK("http://www.spark-marketing.ru/Participants/CardMain?id=3347800", "ООО ""НОВЫЙ ВЗГЛЯД""")</f>
        <v>ООО "НОВЫЙ ВЗГЛЯД"</v>
      </c>
      <c r="W21" s="28" t="s">
        <v>93</v>
      </c>
      <c r="X21" s="29" t="s">
        <v>53</v>
      </c>
      <c r="Y21" s="44">
        <v>7326859.6100000003</v>
      </c>
      <c r="Z21" s="45">
        <v>5.0000000000000001E-3</v>
      </c>
      <c r="AA21" s="30" t="s">
        <v>56</v>
      </c>
      <c r="AB21" s="46">
        <v>2</v>
      </c>
      <c r="AC21" s="30" t="s">
        <v>60</v>
      </c>
      <c r="AD21" s="29" t="s">
        <v>53</v>
      </c>
      <c r="AE21" s="44" t="s">
        <v>53</v>
      </c>
      <c r="AF21" s="29" t="s">
        <v>53</v>
      </c>
      <c r="AG21" s="36" t="s">
        <v>53</v>
      </c>
      <c r="AH21" s="32" t="str">
        <f>HYPERLINK("http://zakupki.gov.ru/epz/order/notice/ea44/view/common-info.html?regNumber=0148200005014000137", "ссылка")</f>
        <v>ссылка</v>
      </c>
    </row>
    <row r="22" spans="2:34" x14ac:dyDescent="0.15">
      <c r="B22" s="34">
        <v>1</v>
      </c>
      <c r="C22" s="43" t="s">
        <v>62</v>
      </c>
      <c r="D22" s="35" t="s">
        <v>53</v>
      </c>
      <c r="E22" s="37" t="s">
        <v>53</v>
      </c>
      <c r="F22" s="37" t="s">
        <v>54</v>
      </c>
      <c r="G22" s="37" t="s">
        <v>54</v>
      </c>
      <c r="H22" s="37" t="s">
        <v>53</v>
      </c>
      <c r="I22" s="37" t="s">
        <v>53</v>
      </c>
      <c r="J22" s="37" t="s">
        <v>53</v>
      </c>
      <c r="K22" s="37" t="s">
        <v>53</v>
      </c>
      <c r="L22" s="37" t="s">
        <v>53</v>
      </c>
      <c r="M22" s="37" t="s">
        <v>53</v>
      </c>
      <c r="N22" s="37" t="s">
        <v>54</v>
      </c>
      <c r="O22" s="37" t="s">
        <v>53</v>
      </c>
      <c r="P22" s="27" t="str">
        <f t="shared" ref="P22:P28" si="3">HYPERLINK("http://www.spark-marketing.ru/Participants/CardMain?id=129404", "ОБУЗ ""Родильный дом № 1""")</f>
        <v>ОБУЗ "Родильный дом № 1"</v>
      </c>
      <c r="Q22" s="28" t="s">
        <v>94</v>
      </c>
      <c r="R22" s="44">
        <v>774018</v>
      </c>
      <c r="S22" s="29" t="s">
        <v>95</v>
      </c>
      <c r="T22" s="27" t="str">
        <f t="shared" ref="T22:T28" si="4">HYPERLINK("http://www.spark-marketing.ru/Purchases/CardMain?packId=212969517", "Поставка раствора для инфузий (гидроксиэтилкрахмала), согласно Спецификации документации о закупке")</f>
        <v>Поставка раствора для инфузий (гидроксиэтилкрахмала), согласно Спецификации документации о закупке</v>
      </c>
      <c r="U22" s="31">
        <v>41912.891585648104</v>
      </c>
      <c r="V22" s="27" t="s">
        <v>53</v>
      </c>
      <c r="W22" s="28" t="s">
        <v>53</v>
      </c>
      <c r="X22" s="29" t="s">
        <v>53</v>
      </c>
      <c r="Y22" s="44" t="s">
        <v>53</v>
      </c>
      <c r="Z22" s="45" t="s">
        <v>53</v>
      </c>
      <c r="AA22" s="30" t="s">
        <v>56</v>
      </c>
      <c r="AB22" s="46">
        <v>6</v>
      </c>
      <c r="AC22" s="30" t="s">
        <v>61</v>
      </c>
      <c r="AD22" s="29" t="s">
        <v>96</v>
      </c>
      <c r="AE22" s="44">
        <v>200663.75</v>
      </c>
      <c r="AF22" s="29" t="s">
        <v>97</v>
      </c>
      <c r="AG22" s="36" t="s">
        <v>98</v>
      </c>
      <c r="AH22" s="32" t="str">
        <f t="shared" ref="AH22:AH28" si="5">HYPERLINK("http://zakupki.gov.ru/epz/order/notice/ea44/view/common-info.html?regNumber=0133200001714003240", "ссылка")</f>
        <v>ссылка</v>
      </c>
    </row>
    <row r="23" spans="2:34" outlineLevel="1" x14ac:dyDescent="0.15">
      <c r="B23" s="34">
        <v>2</v>
      </c>
      <c r="C23" s="43" t="s">
        <v>62</v>
      </c>
      <c r="D23" s="35" t="s">
        <v>53</v>
      </c>
      <c r="E23" s="37" t="s">
        <v>53</v>
      </c>
      <c r="F23" s="37" t="s">
        <v>54</v>
      </c>
      <c r="G23" s="37" t="s">
        <v>54</v>
      </c>
      <c r="H23" s="37" t="s">
        <v>53</v>
      </c>
      <c r="I23" s="37" t="s">
        <v>53</v>
      </c>
      <c r="J23" s="37" t="s">
        <v>53</v>
      </c>
      <c r="K23" s="37" t="s">
        <v>53</v>
      </c>
      <c r="L23" s="37" t="s">
        <v>53</v>
      </c>
      <c r="M23" s="37" t="s">
        <v>53</v>
      </c>
      <c r="N23" s="37" t="s">
        <v>54</v>
      </c>
      <c r="O23" s="37" t="s">
        <v>53</v>
      </c>
      <c r="P23" s="27" t="str">
        <f t="shared" si="3"/>
        <v>ОБУЗ "Родильный дом № 1"</v>
      </c>
      <c r="Q23" s="28" t="s">
        <v>94</v>
      </c>
      <c r="R23" s="44">
        <v>774018</v>
      </c>
      <c r="S23" s="29" t="s">
        <v>95</v>
      </c>
      <c r="T23" s="27" t="str">
        <f t="shared" si="4"/>
        <v>Поставка раствора для инфузий (гидроксиэтилкрахмала), согласно Спецификации документации о закупке</v>
      </c>
      <c r="U23" s="31">
        <v>41912.891585648104</v>
      </c>
      <c r="V23" s="27" t="str">
        <f>HYPERLINK("http://www.spark-marketing.ru/Participants/CardMain?id=128752", "ООО ""ФО Волжская мануфактура""")</f>
        <v>ООО "ФО Волжская мануфактура"</v>
      </c>
      <c r="W23" s="28" t="s">
        <v>98</v>
      </c>
      <c r="X23" s="29" t="s">
        <v>12</v>
      </c>
      <c r="Y23" s="44">
        <v>236075</v>
      </c>
      <c r="Z23" s="45">
        <v>0.69500063306021309</v>
      </c>
      <c r="AA23" s="30" t="s">
        <v>56</v>
      </c>
      <c r="AB23" s="46">
        <v>6</v>
      </c>
      <c r="AC23" s="30" t="s">
        <v>61</v>
      </c>
      <c r="AD23" s="29" t="s">
        <v>53</v>
      </c>
      <c r="AE23" s="44" t="s">
        <v>53</v>
      </c>
      <c r="AF23" s="29" t="s">
        <v>53</v>
      </c>
      <c r="AG23" s="36" t="s">
        <v>53</v>
      </c>
      <c r="AH23" s="32" t="str">
        <f t="shared" si="5"/>
        <v>ссылка</v>
      </c>
    </row>
    <row r="24" spans="2:34" outlineLevel="1" x14ac:dyDescent="0.15">
      <c r="B24" s="34">
        <v>2</v>
      </c>
      <c r="C24" s="43" t="s">
        <v>62</v>
      </c>
      <c r="D24" s="35" t="s">
        <v>53</v>
      </c>
      <c r="E24" s="37" t="s">
        <v>53</v>
      </c>
      <c r="F24" s="37" t="s">
        <v>54</v>
      </c>
      <c r="G24" s="37" t="s">
        <v>54</v>
      </c>
      <c r="H24" s="37" t="s">
        <v>53</v>
      </c>
      <c r="I24" s="37" t="s">
        <v>53</v>
      </c>
      <c r="J24" s="37" t="s">
        <v>53</v>
      </c>
      <c r="K24" s="37" t="s">
        <v>53</v>
      </c>
      <c r="L24" s="37" t="s">
        <v>53</v>
      </c>
      <c r="M24" s="37" t="s">
        <v>53</v>
      </c>
      <c r="N24" s="37" t="s">
        <v>54</v>
      </c>
      <c r="O24" s="37" t="s">
        <v>53</v>
      </c>
      <c r="P24" s="27" t="str">
        <f t="shared" si="3"/>
        <v>ОБУЗ "Родильный дом № 1"</v>
      </c>
      <c r="Q24" s="28" t="s">
        <v>94</v>
      </c>
      <c r="R24" s="44">
        <v>774018</v>
      </c>
      <c r="S24" s="29" t="s">
        <v>95</v>
      </c>
      <c r="T24" s="27" t="str">
        <f t="shared" si="4"/>
        <v>Поставка раствора для инфузий (гидроксиэтилкрахмала), согласно Спецификации документации о закупке</v>
      </c>
      <c r="U24" s="31">
        <v>41912.891585648104</v>
      </c>
      <c r="V24" s="27" t="str">
        <f>HYPERLINK("http://www.spark-marketing.ru/Participants/CardMain?id=1629", "ЗАО ""КОМПАНИЯ ""ИНТЕРМЕДСЕРВИС""")</f>
        <v>ЗАО "КОМПАНИЯ "ИНТЕРМЕДСЕРВИС"</v>
      </c>
      <c r="W24" s="28" t="s">
        <v>99</v>
      </c>
      <c r="X24" s="29" t="s">
        <v>53</v>
      </c>
      <c r="Y24" s="44">
        <v>239945.58</v>
      </c>
      <c r="Z24" s="45">
        <v>0.69</v>
      </c>
      <c r="AA24" s="30" t="s">
        <v>56</v>
      </c>
      <c r="AB24" s="46">
        <v>6</v>
      </c>
      <c r="AC24" s="30" t="s">
        <v>61</v>
      </c>
      <c r="AD24" s="29" t="s">
        <v>53</v>
      </c>
      <c r="AE24" s="44" t="s">
        <v>53</v>
      </c>
      <c r="AF24" s="29" t="s">
        <v>53</v>
      </c>
      <c r="AG24" s="36" t="s">
        <v>53</v>
      </c>
      <c r="AH24" s="32" t="str">
        <f t="shared" si="5"/>
        <v>ссылка</v>
      </c>
    </row>
    <row r="25" spans="2:34" x14ac:dyDescent="0.15">
      <c r="B25" s="34">
        <v>2</v>
      </c>
      <c r="C25" s="43" t="s">
        <v>62</v>
      </c>
      <c r="D25" s="35" t="s">
        <v>53</v>
      </c>
      <c r="E25" s="37" t="s">
        <v>53</v>
      </c>
      <c r="F25" s="37" t="s">
        <v>54</v>
      </c>
      <c r="G25" s="37" t="s">
        <v>54</v>
      </c>
      <c r="H25" s="37" t="s">
        <v>53</v>
      </c>
      <c r="I25" s="37" t="s">
        <v>53</v>
      </c>
      <c r="J25" s="37" t="s">
        <v>53</v>
      </c>
      <c r="K25" s="37" t="s">
        <v>53</v>
      </c>
      <c r="L25" s="37" t="s">
        <v>53</v>
      </c>
      <c r="M25" s="37" t="s">
        <v>53</v>
      </c>
      <c r="N25" s="37" t="s">
        <v>54</v>
      </c>
      <c r="O25" s="37" t="s">
        <v>53</v>
      </c>
      <c r="P25" s="27" t="str">
        <f t="shared" si="3"/>
        <v>ОБУЗ "Родильный дом № 1"</v>
      </c>
      <c r="Q25" s="28" t="s">
        <v>94</v>
      </c>
      <c r="R25" s="44">
        <v>774018</v>
      </c>
      <c r="S25" s="29" t="s">
        <v>95</v>
      </c>
      <c r="T25" s="27" t="str">
        <f t="shared" si="4"/>
        <v>Поставка раствора для инфузий (гидроксиэтилкрахмала), согласно Спецификации документации о закупке</v>
      </c>
      <c r="U25" s="31">
        <v>41912.891585648104</v>
      </c>
      <c r="V25" s="27" t="str">
        <f>HYPERLINK("http://www.spark-marketing.ru/Participants/CardMain?id=23455", "ООО ""Медресурс""")</f>
        <v>ООО "Медресурс"</v>
      </c>
      <c r="W25" s="28" t="s">
        <v>100</v>
      </c>
      <c r="X25" s="29" t="s">
        <v>53</v>
      </c>
      <c r="Y25" s="44">
        <v>417969.72</v>
      </c>
      <c r="Z25" s="45">
        <v>0.46</v>
      </c>
      <c r="AA25" s="30" t="s">
        <v>56</v>
      </c>
      <c r="AB25" s="46">
        <v>6</v>
      </c>
      <c r="AC25" s="30" t="s">
        <v>61</v>
      </c>
      <c r="AD25" s="29" t="s">
        <v>53</v>
      </c>
      <c r="AE25" s="44" t="s">
        <v>53</v>
      </c>
      <c r="AF25" s="29" t="s">
        <v>53</v>
      </c>
      <c r="AG25" s="36" t="s">
        <v>53</v>
      </c>
      <c r="AH25" s="32" t="str">
        <f t="shared" si="5"/>
        <v>ссылка</v>
      </c>
    </row>
    <row r="26" spans="2:34" outlineLevel="1" x14ac:dyDescent="0.15">
      <c r="B26" s="34">
        <v>2</v>
      </c>
      <c r="C26" s="43" t="s">
        <v>62</v>
      </c>
      <c r="D26" s="35" t="s">
        <v>53</v>
      </c>
      <c r="E26" s="37" t="s">
        <v>53</v>
      </c>
      <c r="F26" s="37" t="s">
        <v>54</v>
      </c>
      <c r="G26" s="37" t="s">
        <v>54</v>
      </c>
      <c r="H26" s="37" t="s">
        <v>53</v>
      </c>
      <c r="I26" s="37" t="s">
        <v>53</v>
      </c>
      <c r="J26" s="37" t="s">
        <v>53</v>
      </c>
      <c r="K26" s="37" t="s">
        <v>53</v>
      </c>
      <c r="L26" s="37" t="s">
        <v>53</v>
      </c>
      <c r="M26" s="37" t="s">
        <v>53</v>
      </c>
      <c r="N26" s="37" t="s">
        <v>54</v>
      </c>
      <c r="O26" s="37" t="s">
        <v>53</v>
      </c>
      <c r="P26" s="27" t="str">
        <f t="shared" si="3"/>
        <v>ОБУЗ "Родильный дом № 1"</v>
      </c>
      <c r="Q26" s="28" t="s">
        <v>94</v>
      </c>
      <c r="R26" s="44">
        <v>774018</v>
      </c>
      <c r="S26" s="29" t="s">
        <v>95</v>
      </c>
      <c r="T26" s="27" t="str">
        <f t="shared" si="4"/>
        <v>Поставка раствора для инфузий (гидроксиэтилкрахмала), согласно Спецификации документации о закупке</v>
      </c>
      <c r="U26" s="31">
        <v>41912.891585648104</v>
      </c>
      <c r="V26" s="27" t="str">
        <f>HYPERLINK("http://www.spark-marketing.ru/Participants/CardMain?id=25746", "ООО ""БСС""")</f>
        <v>ООО "БСС"</v>
      </c>
      <c r="W26" s="28" t="s">
        <v>101</v>
      </c>
      <c r="X26" s="29" t="s">
        <v>53</v>
      </c>
      <c r="Y26" s="44">
        <v>634694.76</v>
      </c>
      <c r="Z26" s="45">
        <v>0.18</v>
      </c>
      <c r="AA26" s="30" t="s">
        <v>56</v>
      </c>
      <c r="AB26" s="46">
        <v>6</v>
      </c>
      <c r="AC26" s="30" t="s">
        <v>61</v>
      </c>
      <c r="AD26" s="29" t="s">
        <v>53</v>
      </c>
      <c r="AE26" s="44" t="s">
        <v>53</v>
      </c>
      <c r="AF26" s="29" t="s">
        <v>53</v>
      </c>
      <c r="AG26" s="36" t="s">
        <v>53</v>
      </c>
      <c r="AH26" s="32" t="str">
        <f t="shared" si="5"/>
        <v>ссылка</v>
      </c>
    </row>
    <row r="27" spans="2:34" outlineLevel="1" x14ac:dyDescent="0.15">
      <c r="B27" s="34">
        <v>2</v>
      </c>
      <c r="C27" s="43" t="s">
        <v>62</v>
      </c>
      <c r="D27" s="35" t="s">
        <v>53</v>
      </c>
      <c r="E27" s="37" t="s">
        <v>53</v>
      </c>
      <c r="F27" s="37" t="s">
        <v>54</v>
      </c>
      <c r="G27" s="37" t="s">
        <v>54</v>
      </c>
      <c r="H27" s="37" t="s">
        <v>53</v>
      </c>
      <c r="I27" s="37" t="s">
        <v>53</v>
      </c>
      <c r="J27" s="37" t="s">
        <v>53</v>
      </c>
      <c r="K27" s="37" t="s">
        <v>53</v>
      </c>
      <c r="L27" s="37" t="s">
        <v>53</v>
      </c>
      <c r="M27" s="37" t="s">
        <v>53</v>
      </c>
      <c r="N27" s="37" t="s">
        <v>54</v>
      </c>
      <c r="O27" s="37" t="s">
        <v>53</v>
      </c>
      <c r="P27" s="27" t="str">
        <f t="shared" si="3"/>
        <v>ОБУЗ "Родильный дом № 1"</v>
      </c>
      <c r="Q27" s="28" t="s">
        <v>94</v>
      </c>
      <c r="R27" s="44">
        <v>774018</v>
      </c>
      <c r="S27" s="29" t="s">
        <v>95</v>
      </c>
      <c r="T27" s="27" t="str">
        <f t="shared" si="4"/>
        <v>Поставка раствора для инфузий (гидроксиэтилкрахмала), согласно Спецификации документации о закупке</v>
      </c>
      <c r="U27" s="31">
        <v>41912.891585648104</v>
      </c>
      <c r="V27" s="27" t="str">
        <f>HYPERLINK("http://www.spark-marketing.ru/Participants/CardMain?id=4740", "ООО ""ЦЕНТРОФАРМА""")</f>
        <v>ООО "ЦЕНТРОФАРМА"</v>
      </c>
      <c r="W27" s="28" t="s">
        <v>72</v>
      </c>
      <c r="X27" s="29" t="s">
        <v>53</v>
      </c>
      <c r="Y27" s="44">
        <v>669525.56999999995</v>
      </c>
      <c r="Z27" s="45">
        <v>0.13500000000000001</v>
      </c>
      <c r="AA27" s="30" t="s">
        <v>56</v>
      </c>
      <c r="AB27" s="46">
        <v>6</v>
      </c>
      <c r="AC27" s="30" t="s">
        <v>61</v>
      </c>
      <c r="AD27" s="29" t="s">
        <v>53</v>
      </c>
      <c r="AE27" s="44" t="s">
        <v>53</v>
      </c>
      <c r="AF27" s="29" t="s">
        <v>53</v>
      </c>
      <c r="AG27" s="36" t="s">
        <v>53</v>
      </c>
      <c r="AH27" s="32" t="str">
        <f t="shared" si="5"/>
        <v>ссылка</v>
      </c>
    </row>
    <row r="28" spans="2:34" outlineLevel="1" x14ac:dyDescent="0.15">
      <c r="B28" s="34">
        <v>2</v>
      </c>
      <c r="C28" s="43" t="s">
        <v>62</v>
      </c>
      <c r="D28" s="35" t="s">
        <v>53</v>
      </c>
      <c r="E28" s="37" t="s">
        <v>53</v>
      </c>
      <c r="F28" s="37" t="s">
        <v>54</v>
      </c>
      <c r="G28" s="37" t="s">
        <v>54</v>
      </c>
      <c r="H28" s="37" t="s">
        <v>53</v>
      </c>
      <c r="I28" s="37" t="s">
        <v>53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54</v>
      </c>
      <c r="O28" s="37" t="s">
        <v>53</v>
      </c>
      <c r="P28" s="27" t="str">
        <f t="shared" si="3"/>
        <v>ОБУЗ "Родильный дом № 1"</v>
      </c>
      <c r="Q28" s="28" t="s">
        <v>94</v>
      </c>
      <c r="R28" s="44">
        <v>774018</v>
      </c>
      <c r="S28" s="29" t="s">
        <v>95</v>
      </c>
      <c r="T28" s="27" t="str">
        <f t="shared" si="4"/>
        <v>Поставка раствора для инфузий (гидроксиэтилкрахмала), согласно Спецификации документации о закупке</v>
      </c>
      <c r="U28" s="31">
        <v>41912.891585648104</v>
      </c>
      <c r="V28" s="27" t="str">
        <f>HYPERLINK("http://www.spark-marketing.ru/Participants/CardMain?id=1470", "ООО ""Инициатива""")</f>
        <v>ООО "Инициатива"</v>
      </c>
      <c r="W28" s="28" t="s">
        <v>69</v>
      </c>
      <c r="X28" s="29" t="s">
        <v>53</v>
      </c>
      <c r="Y28" s="44">
        <v>770147.91</v>
      </c>
      <c r="Z28" s="45">
        <v>5.0000000000000001E-3</v>
      </c>
      <c r="AA28" s="30" t="s">
        <v>56</v>
      </c>
      <c r="AB28" s="46">
        <v>6</v>
      </c>
      <c r="AC28" s="30" t="s">
        <v>61</v>
      </c>
      <c r="AD28" s="29" t="s">
        <v>53</v>
      </c>
      <c r="AE28" s="44" t="s">
        <v>53</v>
      </c>
      <c r="AF28" s="29" t="s">
        <v>53</v>
      </c>
      <c r="AG28" s="36" t="s">
        <v>53</v>
      </c>
      <c r="AH28" s="32" t="str">
        <f t="shared" si="5"/>
        <v>ссылка</v>
      </c>
    </row>
    <row r="29" spans="2:34" outlineLevel="1" x14ac:dyDescent="0.15">
      <c r="B29" s="34">
        <v>1</v>
      </c>
      <c r="C29" s="43" t="s">
        <v>74</v>
      </c>
      <c r="D29" s="35" t="s">
        <v>53</v>
      </c>
      <c r="E29" s="37" t="s">
        <v>53</v>
      </c>
      <c r="F29" s="37" t="s">
        <v>53</v>
      </c>
      <c r="G29" s="37" t="s">
        <v>54</v>
      </c>
      <c r="H29" s="37" t="s">
        <v>53</v>
      </c>
      <c r="I29" s="37" t="s">
        <v>53</v>
      </c>
      <c r="J29" s="37" t="s">
        <v>53</v>
      </c>
      <c r="K29" s="37" t="s">
        <v>53</v>
      </c>
      <c r="L29" s="37" t="s">
        <v>53</v>
      </c>
      <c r="M29" s="37" t="s">
        <v>53</v>
      </c>
      <c r="N29" s="37" t="s">
        <v>53</v>
      </c>
      <c r="O29" s="37" t="s">
        <v>53</v>
      </c>
      <c r="P29" s="27" t="str">
        <f>HYPERLINK("http://www.spark-marketing.ru/Participants/CardMain?id=617031", "ФКУ ""Ц ХиСО МВД по Республике Татарстан (Татарстан)""")</f>
        <v>ФКУ "Ц ХиСО МВД по Республике Татарстан (Татарстан)"</v>
      </c>
      <c r="Q29" s="28" t="s">
        <v>103</v>
      </c>
      <c r="R29" s="44">
        <v>2950400</v>
      </c>
      <c r="S29" s="29" t="s">
        <v>104</v>
      </c>
      <c r="T29" s="27" t="str">
        <f>HYPERLINK("http://www.spark-marketing.ru/Purchases/CardMain?packId=212787396", "Поставка запасных частей к автомобилям для нужд МВД по Республике Татарстан")</f>
        <v>Поставка запасных частей к автомобилям для нужд МВД по Республике Татарстан</v>
      </c>
      <c r="U29" s="31">
        <v>41912.882152777798</v>
      </c>
      <c r="V29" s="27" t="s">
        <v>53</v>
      </c>
      <c r="W29" s="28" t="s">
        <v>53</v>
      </c>
      <c r="X29" s="29" t="s">
        <v>53</v>
      </c>
      <c r="Y29" s="44" t="s">
        <v>53</v>
      </c>
      <c r="Z29" s="45" t="s">
        <v>53</v>
      </c>
      <c r="AA29" s="30" t="s">
        <v>56</v>
      </c>
      <c r="AB29" s="46">
        <v>3</v>
      </c>
      <c r="AC29" s="30" t="s">
        <v>57</v>
      </c>
      <c r="AD29" s="29" t="s">
        <v>105</v>
      </c>
      <c r="AE29" s="44">
        <v>2950388</v>
      </c>
      <c r="AF29" s="29" t="s">
        <v>106</v>
      </c>
      <c r="AG29" s="36" t="s">
        <v>107</v>
      </c>
      <c r="AH29" s="32" t="str">
        <f>HYPERLINK("http://zakupki.gov.ru/epz/order/notice/ea44/view/common-info.html?regNumber=0811100001014000130", "ссылка")</f>
        <v>ссылка</v>
      </c>
    </row>
    <row r="30" spans="2:34" outlineLevel="1" x14ac:dyDescent="0.15">
      <c r="B30" s="34">
        <v>2</v>
      </c>
      <c r="C30" s="43" t="s">
        <v>74</v>
      </c>
      <c r="D30" s="35" t="s">
        <v>53</v>
      </c>
      <c r="E30" s="37" t="s">
        <v>53</v>
      </c>
      <c r="F30" s="37" t="s">
        <v>53</v>
      </c>
      <c r="G30" s="37" t="s">
        <v>54</v>
      </c>
      <c r="H30" s="37" t="s">
        <v>53</v>
      </c>
      <c r="I30" s="37" t="s">
        <v>53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 t="s">
        <v>53</v>
      </c>
      <c r="P30" s="27" t="str">
        <f>HYPERLINK("http://www.spark-marketing.ru/Participants/CardMain?id=617031", "ФКУ ""Ц ХиСО МВД по Республике Татарстан (Татарстан)""")</f>
        <v>ФКУ "Ц ХиСО МВД по Республике Татарстан (Татарстан)"</v>
      </c>
      <c r="Q30" s="28" t="s">
        <v>103</v>
      </c>
      <c r="R30" s="44">
        <v>2950400</v>
      </c>
      <c r="S30" s="29" t="s">
        <v>104</v>
      </c>
      <c r="T30" s="27" t="str">
        <f>HYPERLINK("http://www.spark-marketing.ru/Purchases/CardMain?packId=212787396", "Поставка запасных частей к автомобилям для нужд МВД по Республике Татарстан")</f>
        <v>Поставка запасных частей к автомобилям для нужд МВД по Республике Татарстан</v>
      </c>
      <c r="U30" s="31">
        <v>41912.882152777798</v>
      </c>
      <c r="V30" s="27" t="str">
        <f>HYPERLINK("http://www.spark-marketing.ru/Participants/CardMain?id=624220", "ООО ""ТехноградПлюс""")</f>
        <v>ООО "ТехноградПлюс"</v>
      </c>
      <c r="W30" s="28" t="s">
        <v>107</v>
      </c>
      <c r="X30" s="29" t="s">
        <v>12</v>
      </c>
      <c r="Y30" s="44">
        <v>2861888</v>
      </c>
      <c r="Z30" s="45">
        <v>0.03</v>
      </c>
      <c r="AA30" s="30" t="s">
        <v>56</v>
      </c>
      <c r="AB30" s="46">
        <v>3</v>
      </c>
      <c r="AC30" s="30" t="s">
        <v>57</v>
      </c>
      <c r="AD30" s="29" t="s">
        <v>53</v>
      </c>
      <c r="AE30" s="44" t="s">
        <v>53</v>
      </c>
      <c r="AF30" s="29" t="s">
        <v>53</v>
      </c>
      <c r="AG30" s="36" t="s">
        <v>53</v>
      </c>
      <c r="AH30" s="32" t="str">
        <f>HYPERLINK("http://zakupki.gov.ru/epz/order/notice/ea44/view/common-info.html?regNumber=0811100001014000130", "ссылка")</f>
        <v>ссылка</v>
      </c>
    </row>
    <row r="31" spans="2:34" outlineLevel="1" x14ac:dyDescent="0.15">
      <c r="B31" s="34">
        <v>2</v>
      </c>
      <c r="C31" s="43" t="s">
        <v>74</v>
      </c>
      <c r="D31" s="35" t="s">
        <v>53</v>
      </c>
      <c r="E31" s="37" t="s">
        <v>53</v>
      </c>
      <c r="F31" s="37" t="s">
        <v>53</v>
      </c>
      <c r="G31" s="37" t="s">
        <v>54</v>
      </c>
      <c r="H31" s="37" t="s">
        <v>53</v>
      </c>
      <c r="I31" s="37" t="s">
        <v>53</v>
      </c>
      <c r="J31" s="37" t="s">
        <v>53</v>
      </c>
      <c r="K31" s="37" t="s">
        <v>53</v>
      </c>
      <c r="L31" s="37" t="s">
        <v>53</v>
      </c>
      <c r="M31" s="37" t="s">
        <v>53</v>
      </c>
      <c r="N31" s="37" t="s">
        <v>53</v>
      </c>
      <c r="O31" s="37" t="s">
        <v>53</v>
      </c>
      <c r="P31" s="27" t="str">
        <f>HYPERLINK("http://www.spark-marketing.ru/Participants/CardMain?id=617031", "ФКУ ""Ц ХиСО МВД по Республике Татарстан (Татарстан)""")</f>
        <v>ФКУ "Ц ХиСО МВД по Республике Татарстан (Татарстан)"</v>
      </c>
      <c r="Q31" s="28" t="s">
        <v>103</v>
      </c>
      <c r="R31" s="44">
        <v>2950400</v>
      </c>
      <c r="S31" s="29" t="s">
        <v>104</v>
      </c>
      <c r="T31" s="27" t="str">
        <f>HYPERLINK("http://www.spark-marketing.ru/Purchases/CardMain?packId=212787396", "Поставка запасных частей к автомобилям для нужд МВД по Республике Татарстан")</f>
        <v>Поставка запасных частей к автомобилям для нужд МВД по Республике Татарстан</v>
      </c>
      <c r="U31" s="31">
        <v>41912.882152777798</v>
      </c>
      <c r="V31" s="27" t="str">
        <f>HYPERLINK("http://www.spark-marketing.ru/Participants/CardMain?id=2736680", "ООО ""КОМПЛИТ ЛТД""")</f>
        <v>ООО "КОМПЛИТ ЛТД"</v>
      </c>
      <c r="W31" s="28" t="s">
        <v>108</v>
      </c>
      <c r="X31" s="29" t="s">
        <v>53</v>
      </c>
      <c r="Y31" s="44">
        <v>2870000</v>
      </c>
      <c r="Z31" s="45">
        <v>2.7250542299349242E-2</v>
      </c>
      <c r="AA31" s="30" t="s">
        <v>56</v>
      </c>
      <c r="AB31" s="46">
        <v>3</v>
      </c>
      <c r="AC31" s="30" t="s">
        <v>57</v>
      </c>
      <c r="AD31" s="29" t="s">
        <v>53</v>
      </c>
      <c r="AE31" s="44" t="s">
        <v>53</v>
      </c>
      <c r="AF31" s="29" t="s">
        <v>53</v>
      </c>
      <c r="AG31" s="36" t="s">
        <v>53</v>
      </c>
      <c r="AH31" s="32" t="str">
        <f>HYPERLINK("http://zakupki.gov.ru/epz/order/notice/ea44/view/common-info.html?regNumber=0811100001014000130", "ссылка")</f>
        <v>ссылка</v>
      </c>
    </row>
    <row r="32" spans="2:34" x14ac:dyDescent="0.15">
      <c r="B32" s="34">
        <v>2</v>
      </c>
      <c r="C32" s="43" t="s">
        <v>74</v>
      </c>
      <c r="D32" s="35" t="s">
        <v>53</v>
      </c>
      <c r="E32" s="37" t="s">
        <v>53</v>
      </c>
      <c r="F32" s="37" t="s">
        <v>53</v>
      </c>
      <c r="G32" s="37" t="s">
        <v>54</v>
      </c>
      <c r="H32" s="37" t="s">
        <v>53</v>
      </c>
      <c r="I32" s="37" t="s">
        <v>53</v>
      </c>
      <c r="J32" s="37" t="s">
        <v>53</v>
      </c>
      <c r="K32" s="37" t="s">
        <v>53</v>
      </c>
      <c r="L32" s="37" t="s">
        <v>53</v>
      </c>
      <c r="M32" s="37" t="s">
        <v>53</v>
      </c>
      <c r="N32" s="37" t="s">
        <v>53</v>
      </c>
      <c r="O32" s="37" t="s">
        <v>53</v>
      </c>
      <c r="P32" s="27" t="str">
        <f>HYPERLINK("http://www.spark-marketing.ru/Participants/CardMain?id=617031", "ФКУ ""Ц ХиСО МВД по Республике Татарстан (Татарстан)""")</f>
        <v>ФКУ "Ц ХиСО МВД по Республике Татарстан (Татарстан)"</v>
      </c>
      <c r="Q32" s="28" t="s">
        <v>103</v>
      </c>
      <c r="R32" s="44">
        <v>2950400</v>
      </c>
      <c r="S32" s="29" t="s">
        <v>104</v>
      </c>
      <c r="T32" s="27" t="str">
        <f>HYPERLINK("http://www.spark-marketing.ru/Purchases/CardMain?packId=212787396", "Поставка запасных частей к автомобилям для нужд МВД по Республике Татарстан")</f>
        <v>Поставка запасных частей к автомобилям для нужд МВД по Республике Татарстан</v>
      </c>
      <c r="U32" s="31">
        <v>41912.882152777798</v>
      </c>
      <c r="V32" s="27" t="str">
        <f>HYPERLINK("http://www.spark-marketing.ru/Participants/CardMain?id=13053", "ООО ""ТОРОПИН""")</f>
        <v>ООО "ТОРОПИН"</v>
      </c>
      <c r="W32" s="28" t="s">
        <v>109</v>
      </c>
      <c r="X32" s="29" t="s">
        <v>53</v>
      </c>
      <c r="Y32" s="44">
        <v>2876640</v>
      </c>
      <c r="Z32" s="45">
        <v>2.5000000000000001E-2</v>
      </c>
      <c r="AA32" s="30" t="s">
        <v>56</v>
      </c>
      <c r="AB32" s="46">
        <v>3</v>
      </c>
      <c r="AC32" s="30" t="s">
        <v>57</v>
      </c>
      <c r="AD32" s="29" t="s">
        <v>53</v>
      </c>
      <c r="AE32" s="44" t="s">
        <v>53</v>
      </c>
      <c r="AF32" s="29" t="s">
        <v>53</v>
      </c>
      <c r="AG32" s="36" t="s">
        <v>53</v>
      </c>
      <c r="AH32" s="32" t="str">
        <f>HYPERLINK("http://zakupki.gov.ru/epz/order/notice/ea44/view/common-info.html?regNumber=0811100001014000130", "ссылка")</f>
        <v>ссылка</v>
      </c>
    </row>
    <row r="33" spans="2:34" outlineLevel="1" x14ac:dyDescent="0.15">
      <c r="B33" s="34">
        <v>1</v>
      </c>
      <c r="C33" s="43" t="s">
        <v>110</v>
      </c>
      <c r="D33" s="35" t="s">
        <v>53</v>
      </c>
      <c r="E33" s="37" t="s">
        <v>53</v>
      </c>
      <c r="F33" s="37" t="s">
        <v>54</v>
      </c>
      <c r="G33" s="37" t="s">
        <v>54</v>
      </c>
      <c r="H33" s="37" t="s">
        <v>53</v>
      </c>
      <c r="I33" s="37" t="s">
        <v>53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 t="s">
        <v>53</v>
      </c>
      <c r="P33" s="27" t="str">
        <f>HYPERLINK("http://www.spark-marketing.ru/Participants/CardMain?id=535976", "СПб ГБУЗ ГП-24")</f>
        <v>СПб ГБУЗ ГП-24</v>
      </c>
      <c r="Q33" s="28" t="s">
        <v>111</v>
      </c>
      <c r="R33" s="44">
        <v>276867.25</v>
      </c>
      <c r="S33" s="29" t="s">
        <v>112</v>
      </c>
      <c r="T33" s="27" t="str">
        <f>HYPERLINK("http://www.spark-marketing.ru/Purchases/CardMain?packId=212982974", "Оказание услуг по проведению бактериальных исследований биологического материала")</f>
        <v>Оказание услуг по проведению бактериальных исследований биологического материала</v>
      </c>
      <c r="U33" s="31">
        <v>41912.874942129602</v>
      </c>
      <c r="V33" s="27" t="s">
        <v>53</v>
      </c>
      <c r="W33" s="28" t="s">
        <v>53</v>
      </c>
      <c r="X33" s="29" t="s">
        <v>53</v>
      </c>
      <c r="Y33" s="44" t="s">
        <v>53</v>
      </c>
      <c r="Z33" s="45" t="s">
        <v>53</v>
      </c>
      <c r="AA33" s="30" t="s">
        <v>56</v>
      </c>
      <c r="AB33" s="46">
        <v>3</v>
      </c>
      <c r="AC33" s="30" t="s">
        <v>60</v>
      </c>
      <c r="AD33" s="29" t="s">
        <v>113</v>
      </c>
      <c r="AE33" s="44">
        <v>208609.96</v>
      </c>
      <c r="AF33" s="29" t="s">
        <v>114</v>
      </c>
      <c r="AG33" s="36" t="s">
        <v>115</v>
      </c>
      <c r="AH33" s="32" t="str">
        <f>HYPERLINK("http://zakupki.gov.ru/epz/order/notice/ea44/view/common-info.html?regNumber=0372200138614000049", "ссылка")</f>
        <v>ссылка</v>
      </c>
    </row>
    <row r="34" spans="2:34" outlineLevel="1" x14ac:dyDescent="0.15">
      <c r="B34" s="34">
        <v>2</v>
      </c>
      <c r="C34" s="43" t="s">
        <v>110</v>
      </c>
      <c r="D34" s="35" t="s">
        <v>53</v>
      </c>
      <c r="E34" s="37" t="s">
        <v>53</v>
      </c>
      <c r="F34" s="37" t="s">
        <v>54</v>
      </c>
      <c r="G34" s="37" t="s">
        <v>54</v>
      </c>
      <c r="H34" s="37" t="s">
        <v>53</v>
      </c>
      <c r="I34" s="37" t="s">
        <v>53</v>
      </c>
      <c r="J34" s="37" t="s">
        <v>53</v>
      </c>
      <c r="K34" s="37" t="s">
        <v>53</v>
      </c>
      <c r="L34" s="37" t="s">
        <v>53</v>
      </c>
      <c r="M34" s="37" t="s">
        <v>53</v>
      </c>
      <c r="N34" s="37" t="s">
        <v>53</v>
      </c>
      <c r="O34" s="37" t="s">
        <v>53</v>
      </c>
      <c r="P34" s="27" t="str">
        <f>HYPERLINK("http://www.spark-marketing.ru/Participants/CardMain?id=535976", "СПб ГБУЗ ГП-24")</f>
        <v>СПб ГБУЗ ГП-24</v>
      </c>
      <c r="Q34" s="28" t="s">
        <v>111</v>
      </c>
      <c r="R34" s="44">
        <v>276867.25</v>
      </c>
      <c r="S34" s="29" t="s">
        <v>112</v>
      </c>
      <c r="T34" s="27" t="str">
        <f>HYPERLINK("http://www.spark-marketing.ru/Purchases/CardMain?packId=212982974", "Оказание услуг по проведению бактериальных исследований биологического материала")</f>
        <v>Оказание услуг по проведению бактериальных исследований биологического материала</v>
      </c>
      <c r="U34" s="31">
        <v>41912.874942129602</v>
      </c>
      <c r="V34" s="27" t="str">
        <f>HYPERLINK("http://www.spark-marketing.ru/Participants/CardMain?id=537709", "СПБ ГБУЗ ""ГП-75""")</f>
        <v>СПБ ГБУЗ "ГП-75"</v>
      </c>
      <c r="W34" s="28" t="s">
        <v>115</v>
      </c>
      <c r="X34" s="29" t="s">
        <v>12</v>
      </c>
      <c r="Y34" s="44">
        <v>189645.42</v>
      </c>
      <c r="Z34" s="45">
        <v>0.31503122886509688</v>
      </c>
      <c r="AA34" s="30" t="s">
        <v>56</v>
      </c>
      <c r="AB34" s="46">
        <v>3</v>
      </c>
      <c r="AC34" s="30" t="s">
        <v>60</v>
      </c>
      <c r="AD34" s="29" t="s">
        <v>53</v>
      </c>
      <c r="AE34" s="44" t="s">
        <v>53</v>
      </c>
      <c r="AF34" s="29" t="s">
        <v>53</v>
      </c>
      <c r="AG34" s="36" t="s">
        <v>53</v>
      </c>
      <c r="AH34" s="32" t="str">
        <f>HYPERLINK("http://zakupki.gov.ru/epz/order/notice/ea44/view/common-info.html?regNumber=0372200138614000049", "ссылка")</f>
        <v>ссылка</v>
      </c>
    </row>
    <row r="35" spans="2:34" outlineLevel="1" x14ac:dyDescent="0.15">
      <c r="B35" s="34">
        <v>2</v>
      </c>
      <c r="C35" s="43" t="s">
        <v>110</v>
      </c>
      <c r="D35" s="35" t="s">
        <v>53</v>
      </c>
      <c r="E35" s="37" t="s">
        <v>53</v>
      </c>
      <c r="F35" s="37" t="s">
        <v>54</v>
      </c>
      <c r="G35" s="37" t="s">
        <v>54</v>
      </c>
      <c r="H35" s="37" t="s">
        <v>53</v>
      </c>
      <c r="I35" s="37" t="s">
        <v>53</v>
      </c>
      <c r="J35" s="37" t="s">
        <v>53</v>
      </c>
      <c r="K35" s="37" t="s">
        <v>53</v>
      </c>
      <c r="L35" s="37" t="s">
        <v>53</v>
      </c>
      <c r="M35" s="37" t="s">
        <v>53</v>
      </c>
      <c r="N35" s="37" t="s">
        <v>53</v>
      </c>
      <c r="O35" s="37" t="s">
        <v>53</v>
      </c>
      <c r="P35" s="27" t="str">
        <f>HYPERLINK("http://www.spark-marketing.ru/Participants/CardMain?id=535976", "СПб ГБУЗ ГП-24")</f>
        <v>СПб ГБУЗ ГП-24</v>
      </c>
      <c r="Q35" s="28" t="s">
        <v>111</v>
      </c>
      <c r="R35" s="44">
        <v>276867.25</v>
      </c>
      <c r="S35" s="29" t="s">
        <v>112</v>
      </c>
      <c r="T35" s="27" t="str">
        <f>HYPERLINK("http://www.spark-marketing.ru/Purchases/CardMain?packId=212982974", "Оказание услуг по проведению бактериальных исследований биологического материала")</f>
        <v>Оказание услуг по проведению бактериальных исследований биологического материала</v>
      </c>
      <c r="U35" s="31">
        <v>41912.874942129602</v>
      </c>
      <c r="V35" s="27" t="str">
        <f>HYPERLINK("http://www.spark-marketing.ru/Participants/CardMain?id=173725", "ООО ""НИЛ""ДИАГНОСТИКА""")</f>
        <v>ООО "НИЛ"ДИАГНОСТИКА"</v>
      </c>
      <c r="W35" s="28" t="s">
        <v>116</v>
      </c>
      <c r="X35" s="29" t="s">
        <v>53</v>
      </c>
      <c r="Y35" s="44">
        <v>191029.76000000001</v>
      </c>
      <c r="Z35" s="45">
        <v>0.31003121532069972</v>
      </c>
      <c r="AA35" s="30" t="s">
        <v>56</v>
      </c>
      <c r="AB35" s="46">
        <v>3</v>
      </c>
      <c r="AC35" s="30" t="s">
        <v>60</v>
      </c>
      <c r="AD35" s="29" t="s">
        <v>53</v>
      </c>
      <c r="AE35" s="44" t="s">
        <v>53</v>
      </c>
      <c r="AF35" s="29" t="s">
        <v>53</v>
      </c>
      <c r="AG35" s="36" t="s">
        <v>53</v>
      </c>
      <c r="AH35" s="32" t="str">
        <f>HYPERLINK("http://zakupki.gov.ru/epz/order/notice/ea44/view/common-info.html?regNumber=0372200138614000049", "ссылка")</f>
        <v>ссылка</v>
      </c>
    </row>
    <row r="36" spans="2:34" x14ac:dyDescent="0.15">
      <c r="B36" s="34">
        <v>2</v>
      </c>
      <c r="C36" s="43" t="s">
        <v>110</v>
      </c>
      <c r="D36" s="35" t="s">
        <v>53</v>
      </c>
      <c r="E36" s="37" t="s">
        <v>53</v>
      </c>
      <c r="F36" s="37" t="s">
        <v>54</v>
      </c>
      <c r="G36" s="37" t="s">
        <v>54</v>
      </c>
      <c r="H36" s="37" t="s">
        <v>53</v>
      </c>
      <c r="I36" s="37" t="s">
        <v>53</v>
      </c>
      <c r="J36" s="37" t="s">
        <v>53</v>
      </c>
      <c r="K36" s="37" t="s">
        <v>53</v>
      </c>
      <c r="L36" s="37" t="s">
        <v>53</v>
      </c>
      <c r="M36" s="37" t="s">
        <v>53</v>
      </c>
      <c r="N36" s="37" t="s">
        <v>53</v>
      </c>
      <c r="O36" s="37" t="s">
        <v>53</v>
      </c>
      <c r="P36" s="27" t="str">
        <f>HYPERLINK("http://www.spark-marketing.ru/Participants/CardMain?id=535976", "СПб ГБУЗ ГП-24")</f>
        <v>СПб ГБУЗ ГП-24</v>
      </c>
      <c r="Q36" s="28" t="s">
        <v>111</v>
      </c>
      <c r="R36" s="44">
        <v>276867.25</v>
      </c>
      <c r="S36" s="29" t="s">
        <v>112</v>
      </c>
      <c r="T36" s="27" t="str">
        <f>HYPERLINK("http://www.spark-marketing.ru/Purchases/CardMain?packId=212982974", "Оказание услуг по проведению бактериальных исследований биологического материала")</f>
        <v>Оказание услуг по проведению бактериальных исследований биологического материала</v>
      </c>
      <c r="U36" s="31">
        <v>41912.874942129602</v>
      </c>
      <c r="V36" s="27" t="str">
        <f>HYPERLINK("http://www.spark-marketing.ru/Participants/CardMain?id=172616", "ЗАО ""СИТИЛАБ""")</f>
        <v>ЗАО "СИТИЛАБ"</v>
      </c>
      <c r="W36" s="28" t="s">
        <v>117</v>
      </c>
      <c r="X36" s="29" t="s">
        <v>53</v>
      </c>
      <c r="Y36" s="44">
        <v>274090</v>
      </c>
      <c r="Z36" s="45">
        <v>1.0030980551148609E-2</v>
      </c>
      <c r="AA36" s="30" t="s">
        <v>56</v>
      </c>
      <c r="AB36" s="46">
        <v>3</v>
      </c>
      <c r="AC36" s="30" t="s">
        <v>60</v>
      </c>
      <c r="AD36" s="29" t="s">
        <v>53</v>
      </c>
      <c r="AE36" s="44" t="s">
        <v>53</v>
      </c>
      <c r="AF36" s="29" t="s">
        <v>53</v>
      </c>
      <c r="AG36" s="36" t="s">
        <v>53</v>
      </c>
      <c r="AH36" s="32" t="str">
        <f>HYPERLINK("http://zakupki.gov.ru/epz/order/notice/ea44/view/common-info.html?regNumber=0372200138614000049", "ссылка")</f>
        <v>ссылка</v>
      </c>
    </row>
    <row r="37" spans="2:34" outlineLevel="1" x14ac:dyDescent="0.15">
      <c r="B37" s="34">
        <v>1</v>
      </c>
      <c r="C37" s="43" t="s">
        <v>62</v>
      </c>
      <c r="D37" s="35" t="s">
        <v>53</v>
      </c>
      <c r="E37" s="37" t="s">
        <v>53</v>
      </c>
      <c r="F37" s="37" t="s">
        <v>54</v>
      </c>
      <c r="G37" s="37" t="s">
        <v>54</v>
      </c>
      <c r="H37" s="37" t="s">
        <v>53</v>
      </c>
      <c r="I37" s="37" t="s">
        <v>53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54</v>
      </c>
      <c r="O37" s="37" t="s">
        <v>53</v>
      </c>
      <c r="P37" s="27" t="str">
        <f t="shared" ref="P37:P44" si="6">HYPERLINK("http://www.spark-marketing.ru/Participants/CardMain?id=342570", "ГУ МВД РОССИИ ПО Г. МОСКВЕ")</f>
        <v>ГУ МВД РОССИИ ПО Г. МОСКВЕ</v>
      </c>
      <c r="Q37" s="28" t="s">
        <v>118</v>
      </c>
      <c r="R37" s="44">
        <v>2956185.16</v>
      </c>
      <c r="S37" s="29" t="s">
        <v>119</v>
      </c>
      <c r="T37" s="27" t="str">
        <f t="shared" ref="T37:T44" si="7">HYPERLINK("http://www.spark-marketing.ru/Purchases/CardMain?packId=212977259", "Электронный аукцион на право заключения государственного контракта на поставку мебели для ФКУЗ «МСЧ МВД России по г. Москве»")</f>
        <v>Электронный аукцион на право заключения государственного контракта на поставку мебели для ФКУЗ «МСЧ МВД России по г. Москве»</v>
      </c>
      <c r="U37" s="31">
        <v>41912.872627314799</v>
      </c>
      <c r="V37" s="27" t="s">
        <v>53</v>
      </c>
      <c r="W37" s="28" t="s">
        <v>53</v>
      </c>
      <c r="X37" s="29" t="s">
        <v>53</v>
      </c>
      <c r="Y37" s="44" t="s">
        <v>53</v>
      </c>
      <c r="Z37" s="45" t="s">
        <v>53</v>
      </c>
      <c r="AA37" s="30" t="s">
        <v>56</v>
      </c>
      <c r="AB37" s="46">
        <v>7</v>
      </c>
      <c r="AC37" s="30" t="s">
        <v>61</v>
      </c>
      <c r="AD37" s="29" t="s">
        <v>120</v>
      </c>
      <c r="AE37" s="44">
        <v>2201214.02</v>
      </c>
      <c r="AF37" s="29" t="s">
        <v>121</v>
      </c>
      <c r="AG37" s="36" t="s">
        <v>122</v>
      </c>
      <c r="AH37" s="32" t="str">
        <f t="shared" ref="AH37:AH44" si="8">HYPERLINK("http://zakupki.gov.ru/epz/order/notice/ea44/view/common-info.html?regNumber=0173100003214000182", "ссылка")</f>
        <v>ссылка</v>
      </c>
    </row>
    <row r="38" spans="2:34" outlineLevel="1" x14ac:dyDescent="0.15">
      <c r="B38" s="34">
        <v>2</v>
      </c>
      <c r="C38" s="43" t="s">
        <v>62</v>
      </c>
      <c r="D38" s="35" t="s">
        <v>53</v>
      </c>
      <c r="E38" s="37" t="s">
        <v>53</v>
      </c>
      <c r="F38" s="37" t="s">
        <v>54</v>
      </c>
      <c r="G38" s="37" t="s">
        <v>54</v>
      </c>
      <c r="H38" s="37" t="s">
        <v>53</v>
      </c>
      <c r="I38" s="37" t="s">
        <v>53</v>
      </c>
      <c r="J38" s="37" t="s">
        <v>53</v>
      </c>
      <c r="K38" s="37" t="s">
        <v>53</v>
      </c>
      <c r="L38" s="37" t="s">
        <v>53</v>
      </c>
      <c r="M38" s="37" t="s">
        <v>53</v>
      </c>
      <c r="N38" s="37" t="s">
        <v>54</v>
      </c>
      <c r="O38" s="37" t="s">
        <v>53</v>
      </c>
      <c r="P38" s="27" t="str">
        <f t="shared" si="6"/>
        <v>ГУ МВД РОССИИ ПО Г. МОСКВЕ</v>
      </c>
      <c r="Q38" s="28" t="s">
        <v>118</v>
      </c>
      <c r="R38" s="44">
        <v>2956185.16</v>
      </c>
      <c r="S38" s="29" t="s">
        <v>119</v>
      </c>
      <c r="T38" s="27" t="str">
        <f t="shared" si="7"/>
        <v>Электронный аукцион на право заключения государственного контракта на поставку мебели для ФКУЗ «МСЧ МВД России по г. Москве»</v>
      </c>
      <c r="U38" s="31">
        <v>41912.872627314799</v>
      </c>
      <c r="V38" s="27" t="str">
        <f>HYPERLINK("http://www.spark-marketing.ru/Participants/CardMain?id=246613", "ООО ""Интерпанорама""")</f>
        <v>ООО "Интерпанорама"</v>
      </c>
      <c r="W38" s="28" t="s">
        <v>122</v>
      </c>
      <c r="X38" s="29" t="s">
        <v>12</v>
      </c>
      <c r="Y38" s="44">
        <v>2172795.87</v>
      </c>
      <c r="Z38" s="45">
        <v>0.26500007529974884</v>
      </c>
      <c r="AA38" s="30" t="s">
        <v>56</v>
      </c>
      <c r="AB38" s="46">
        <v>7</v>
      </c>
      <c r="AC38" s="30" t="s">
        <v>61</v>
      </c>
      <c r="AD38" s="29" t="s">
        <v>53</v>
      </c>
      <c r="AE38" s="44" t="s">
        <v>53</v>
      </c>
      <c r="AF38" s="29" t="s">
        <v>53</v>
      </c>
      <c r="AG38" s="36" t="s">
        <v>53</v>
      </c>
      <c r="AH38" s="32" t="str">
        <f t="shared" si="8"/>
        <v>ссылка</v>
      </c>
    </row>
    <row r="39" spans="2:34" outlineLevel="1" x14ac:dyDescent="0.15">
      <c r="B39" s="34">
        <v>2</v>
      </c>
      <c r="C39" s="43" t="s">
        <v>62</v>
      </c>
      <c r="D39" s="35" t="s">
        <v>53</v>
      </c>
      <c r="E39" s="37" t="s">
        <v>53</v>
      </c>
      <c r="F39" s="37" t="s">
        <v>54</v>
      </c>
      <c r="G39" s="37" t="s">
        <v>54</v>
      </c>
      <c r="H39" s="37" t="s">
        <v>53</v>
      </c>
      <c r="I39" s="37" t="s">
        <v>53</v>
      </c>
      <c r="J39" s="37" t="s">
        <v>53</v>
      </c>
      <c r="K39" s="37" t="s">
        <v>53</v>
      </c>
      <c r="L39" s="37" t="s">
        <v>53</v>
      </c>
      <c r="M39" s="37" t="s">
        <v>53</v>
      </c>
      <c r="N39" s="37" t="s">
        <v>54</v>
      </c>
      <c r="O39" s="37" t="s">
        <v>53</v>
      </c>
      <c r="P39" s="27" t="str">
        <f t="shared" si="6"/>
        <v>ГУ МВД РОССИИ ПО Г. МОСКВЕ</v>
      </c>
      <c r="Q39" s="28" t="s">
        <v>118</v>
      </c>
      <c r="R39" s="44">
        <v>2956185.16</v>
      </c>
      <c r="S39" s="29" t="s">
        <v>119</v>
      </c>
      <c r="T39" s="27" t="str">
        <f t="shared" si="7"/>
        <v>Электронный аукцион на право заключения государственного контракта на поставку мебели для ФКУЗ «МСЧ МВД России по г. Москве»</v>
      </c>
      <c r="U39" s="31">
        <v>41912.872627314799</v>
      </c>
      <c r="V39" s="27" t="str">
        <f>HYPERLINK("http://www.spark-marketing.ru/Participants/CardMain?id=1121989", "ООО ""ОМИС""")</f>
        <v>ООО "ОМИС"</v>
      </c>
      <c r="W39" s="28" t="s">
        <v>123</v>
      </c>
      <c r="X39" s="29" t="s">
        <v>53</v>
      </c>
      <c r="Y39" s="44" t="s">
        <v>53</v>
      </c>
      <c r="Z39" s="45" t="s">
        <v>53</v>
      </c>
      <c r="AA39" s="30" t="s">
        <v>56</v>
      </c>
      <c r="AB39" s="46">
        <v>7</v>
      </c>
      <c r="AC39" s="30" t="s">
        <v>61</v>
      </c>
      <c r="AD39" s="29" t="s">
        <v>53</v>
      </c>
      <c r="AE39" s="44" t="s">
        <v>53</v>
      </c>
      <c r="AF39" s="29" t="s">
        <v>53</v>
      </c>
      <c r="AG39" s="36" t="s">
        <v>53</v>
      </c>
      <c r="AH39" s="32" t="str">
        <f t="shared" si="8"/>
        <v>ссылка</v>
      </c>
    </row>
    <row r="40" spans="2:34" x14ac:dyDescent="0.15">
      <c r="B40" s="34">
        <v>2</v>
      </c>
      <c r="C40" s="43" t="s">
        <v>62</v>
      </c>
      <c r="D40" s="35" t="s">
        <v>53</v>
      </c>
      <c r="E40" s="37" t="s">
        <v>53</v>
      </c>
      <c r="F40" s="37" t="s">
        <v>54</v>
      </c>
      <c r="G40" s="37" t="s">
        <v>54</v>
      </c>
      <c r="H40" s="37" t="s">
        <v>53</v>
      </c>
      <c r="I40" s="37" t="s">
        <v>53</v>
      </c>
      <c r="J40" s="37" t="s">
        <v>53</v>
      </c>
      <c r="K40" s="37" t="s">
        <v>53</v>
      </c>
      <c r="L40" s="37" t="s">
        <v>53</v>
      </c>
      <c r="M40" s="37" t="s">
        <v>53</v>
      </c>
      <c r="N40" s="37" t="s">
        <v>54</v>
      </c>
      <c r="O40" s="37" t="s">
        <v>53</v>
      </c>
      <c r="P40" s="27" t="str">
        <f t="shared" si="6"/>
        <v>ГУ МВД РОССИИ ПО Г. МОСКВЕ</v>
      </c>
      <c r="Q40" s="28" t="s">
        <v>118</v>
      </c>
      <c r="R40" s="44">
        <v>2956185.16</v>
      </c>
      <c r="S40" s="29" t="s">
        <v>119</v>
      </c>
      <c r="T40" s="27" t="str">
        <f t="shared" si="7"/>
        <v>Электронный аукцион на право заключения государственного контракта на поставку мебели для ФКУЗ «МСЧ МВД России по г. Москве»</v>
      </c>
      <c r="U40" s="31">
        <v>41912.872627314799</v>
      </c>
      <c r="V40" s="27" t="str">
        <f>HYPERLINK("http://www.spark-marketing.ru/Participants/CardMain?id=240701", "ООО ""Юнион Трейд""")</f>
        <v>ООО "Юнион Трейд"</v>
      </c>
      <c r="W40" s="28" t="s">
        <v>124</v>
      </c>
      <c r="X40" s="29" t="s">
        <v>53</v>
      </c>
      <c r="Y40" s="44" t="s">
        <v>53</v>
      </c>
      <c r="Z40" s="45" t="s">
        <v>53</v>
      </c>
      <c r="AA40" s="30" t="s">
        <v>56</v>
      </c>
      <c r="AB40" s="46">
        <v>7</v>
      </c>
      <c r="AC40" s="30" t="s">
        <v>61</v>
      </c>
      <c r="AD40" s="29" t="s">
        <v>53</v>
      </c>
      <c r="AE40" s="44" t="s">
        <v>53</v>
      </c>
      <c r="AF40" s="29" t="s">
        <v>53</v>
      </c>
      <c r="AG40" s="36" t="s">
        <v>53</v>
      </c>
      <c r="AH40" s="32" t="str">
        <f t="shared" si="8"/>
        <v>ссылка</v>
      </c>
    </row>
    <row r="41" spans="2:34" outlineLevel="1" x14ac:dyDescent="0.15">
      <c r="B41" s="34">
        <v>2</v>
      </c>
      <c r="C41" s="43" t="s">
        <v>62</v>
      </c>
      <c r="D41" s="35" t="s">
        <v>53</v>
      </c>
      <c r="E41" s="37" t="s">
        <v>53</v>
      </c>
      <c r="F41" s="37" t="s">
        <v>54</v>
      </c>
      <c r="G41" s="37" t="s">
        <v>54</v>
      </c>
      <c r="H41" s="37" t="s">
        <v>53</v>
      </c>
      <c r="I41" s="37" t="s">
        <v>53</v>
      </c>
      <c r="J41" s="37" t="s">
        <v>53</v>
      </c>
      <c r="K41" s="37" t="s">
        <v>53</v>
      </c>
      <c r="L41" s="37" t="s">
        <v>53</v>
      </c>
      <c r="M41" s="37" t="s">
        <v>53</v>
      </c>
      <c r="N41" s="37" t="s">
        <v>54</v>
      </c>
      <c r="O41" s="37" t="s">
        <v>53</v>
      </c>
      <c r="P41" s="27" t="str">
        <f t="shared" si="6"/>
        <v>ГУ МВД РОССИИ ПО Г. МОСКВЕ</v>
      </c>
      <c r="Q41" s="28" t="s">
        <v>118</v>
      </c>
      <c r="R41" s="44">
        <v>2956185.16</v>
      </c>
      <c r="S41" s="29" t="s">
        <v>119</v>
      </c>
      <c r="T41" s="27" t="str">
        <f t="shared" si="7"/>
        <v>Электронный аукцион на право заключения государственного контракта на поставку мебели для ФКУЗ «МСЧ МВД России по г. Москве»</v>
      </c>
      <c r="U41" s="31">
        <v>41912.872627314799</v>
      </c>
      <c r="V41" s="27" t="str">
        <f>HYPERLINK("http://www.spark-marketing.ru/Participants/CardMain?id=71048", "ООО ""СЛАВЯНСКАЯ МЕБЕЛЬ""")</f>
        <v>ООО "СЛАВЯНСКАЯ МЕБЕЛЬ"</v>
      </c>
      <c r="W41" s="28" t="s">
        <v>125</v>
      </c>
      <c r="X41" s="29" t="s">
        <v>53</v>
      </c>
      <c r="Y41" s="44">
        <v>2187576.7999999998</v>
      </c>
      <c r="Z41" s="45">
        <v>0.26000007387899882</v>
      </c>
      <c r="AA41" s="30" t="s">
        <v>56</v>
      </c>
      <c r="AB41" s="46">
        <v>7</v>
      </c>
      <c r="AC41" s="30" t="s">
        <v>61</v>
      </c>
      <c r="AD41" s="29" t="s">
        <v>53</v>
      </c>
      <c r="AE41" s="44" t="s">
        <v>53</v>
      </c>
      <c r="AF41" s="29" t="s">
        <v>53</v>
      </c>
      <c r="AG41" s="36" t="s">
        <v>53</v>
      </c>
      <c r="AH41" s="32" t="str">
        <f t="shared" si="8"/>
        <v>ссылка</v>
      </c>
    </row>
    <row r="42" spans="2:34" outlineLevel="1" x14ac:dyDescent="0.15">
      <c r="B42" s="34">
        <v>2</v>
      </c>
      <c r="C42" s="43" t="s">
        <v>62</v>
      </c>
      <c r="D42" s="35" t="s">
        <v>53</v>
      </c>
      <c r="E42" s="37" t="s">
        <v>53</v>
      </c>
      <c r="F42" s="37" t="s">
        <v>54</v>
      </c>
      <c r="G42" s="37" t="s">
        <v>54</v>
      </c>
      <c r="H42" s="37" t="s">
        <v>53</v>
      </c>
      <c r="I42" s="37" t="s">
        <v>53</v>
      </c>
      <c r="J42" s="37" t="s">
        <v>53</v>
      </c>
      <c r="K42" s="37" t="s">
        <v>53</v>
      </c>
      <c r="L42" s="37" t="s">
        <v>53</v>
      </c>
      <c r="M42" s="37" t="s">
        <v>53</v>
      </c>
      <c r="N42" s="37" t="s">
        <v>54</v>
      </c>
      <c r="O42" s="37" t="s">
        <v>53</v>
      </c>
      <c r="P42" s="27" t="str">
        <f t="shared" si="6"/>
        <v>ГУ МВД РОССИИ ПО Г. МОСКВЕ</v>
      </c>
      <c r="Q42" s="28" t="s">
        <v>118</v>
      </c>
      <c r="R42" s="44">
        <v>2956185.16</v>
      </c>
      <c r="S42" s="29" t="s">
        <v>119</v>
      </c>
      <c r="T42" s="27" t="str">
        <f t="shared" si="7"/>
        <v>Электронный аукцион на право заключения государственного контракта на поставку мебели для ФКУЗ «МСЧ МВД России по г. Москве»</v>
      </c>
      <c r="U42" s="31">
        <v>41912.872627314799</v>
      </c>
      <c r="V42" s="27" t="str">
        <f>HYPERLINK("http://www.spark-marketing.ru/Participants/CardMain?id=48783", "ООО ""КОМУСРИСТАР""")</f>
        <v>ООО "КОМУСРИСТАР"</v>
      </c>
      <c r="W42" s="28" t="s">
        <v>126</v>
      </c>
      <c r="X42" s="29" t="s">
        <v>53</v>
      </c>
      <c r="Y42" s="44">
        <v>2217138.66</v>
      </c>
      <c r="Z42" s="45">
        <v>0.25000007103749888</v>
      </c>
      <c r="AA42" s="30" t="s">
        <v>56</v>
      </c>
      <c r="AB42" s="46">
        <v>7</v>
      </c>
      <c r="AC42" s="30" t="s">
        <v>61</v>
      </c>
      <c r="AD42" s="29" t="s">
        <v>53</v>
      </c>
      <c r="AE42" s="44" t="s">
        <v>53</v>
      </c>
      <c r="AF42" s="29" t="s">
        <v>53</v>
      </c>
      <c r="AG42" s="36" t="s">
        <v>53</v>
      </c>
      <c r="AH42" s="32" t="str">
        <f t="shared" si="8"/>
        <v>ссылка</v>
      </c>
    </row>
    <row r="43" spans="2:34" outlineLevel="1" x14ac:dyDescent="0.15">
      <c r="B43" s="34">
        <v>2</v>
      </c>
      <c r="C43" s="43" t="s">
        <v>62</v>
      </c>
      <c r="D43" s="35" t="s">
        <v>53</v>
      </c>
      <c r="E43" s="37" t="s">
        <v>53</v>
      </c>
      <c r="F43" s="37" t="s">
        <v>54</v>
      </c>
      <c r="G43" s="37" t="s">
        <v>54</v>
      </c>
      <c r="H43" s="37" t="s">
        <v>53</v>
      </c>
      <c r="I43" s="37" t="s">
        <v>53</v>
      </c>
      <c r="J43" s="37" t="s">
        <v>53</v>
      </c>
      <c r="K43" s="37" t="s">
        <v>53</v>
      </c>
      <c r="L43" s="37" t="s">
        <v>53</v>
      </c>
      <c r="M43" s="37" t="s">
        <v>53</v>
      </c>
      <c r="N43" s="37" t="s">
        <v>54</v>
      </c>
      <c r="O43" s="37" t="s">
        <v>53</v>
      </c>
      <c r="P43" s="27" t="str">
        <f t="shared" si="6"/>
        <v>ГУ МВД РОССИИ ПО Г. МОСКВЕ</v>
      </c>
      <c r="Q43" s="28" t="s">
        <v>118</v>
      </c>
      <c r="R43" s="44">
        <v>2956185.16</v>
      </c>
      <c r="S43" s="29" t="s">
        <v>119</v>
      </c>
      <c r="T43" s="27" t="str">
        <f t="shared" si="7"/>
        <v>Электронный аукцион на право заключения государственного контракта на поставку мебели для ФКУЗ «МСЧ МВД России по г. Москве»</v>
      </c>
      <c r="U43" s="31">
        <v>41912.872627314799</v>
      </c>
      <c r="V43" s="27" t="str">
        <f>HYPERLINK("http://www.spark-marketing.ru/Participants/CardMain?id=555313", "ООО ""РАНГ""")</f>
        <v>ООО "РАНГ"</v>
      </c>
      <c r="W43" s="28" t="s">
        <v>127</v>
      </c>
      <c r="X43" s="29" t="s">
        <v>53</v>
      </c>
      <c r="Y43" s="44">
        <v>2719690.28</v>
      </c>
      <c r="Z43" s="45">
        <v>8.0000022731999645E-2</v>
      </c>
      <c r="AA43" s="30" t="s">
        <v>56</v>
      </c>
      <c r="AB43" s="46">
        <v>7</v>
      </c>
      <c r="AC43" s="30" t="s">
        <v>61</v>
      </c>
      <c r="AD43" s="29" t="s">
        <v>53</v>
      </c>
      <c r="AE43" s="44" t="s">
        <v>53</v>
      </c>
      <c r="AF43" s="29" t="s">
        <v>53</v>
      </c>
      <c r="AG43" s="36" t="s">
        <v>53</v>
      </c>
      <c r="AH43" s="32" t="str">
        <f t="shared" si="8"/>
        <v>ссылка</v>
      </c>
    </row>
    <row r="44" spans="2:34" outlineLevel="1" x14ac:dyDescent="0.15">
      <c r="B44" s="34">
        <v>2</v>
      </c>
      <c r="C44" s="43" t="s">
        <v>62</v>
      </c>
      <c r="D44" s="35" t="s">
        <v>53</v>
      </c>
      <c r="E44" s="37" t="s">
        <v>53</v>
      </c>
      <c r="F44" s="37" t="s">
        <v>54</v>
      </c>
      <c r="G44" s="37" t="s">
        <v>54</v>
      </c>
      <c r="H44" s="37" t="s">
        <v>53</v>
      </c>
      <c r="I44" s="37" t="s">
        <v>53</v>
      </c>
      <c r="J44" s="37" t="s">
        <v>53</v>
      </c>
      <c r="K44" s="37" t="s">
        <v>53</v>
      </c>
      <c r="L44" s="37" t="s">
        <v>53</v>
      </c>
      <c r="M44" s="37" t="s">
        <v>53</v>
      </c>
      <c r="N44" s="37" t="s">
        <v>54</v>
      </c>
      <c r="O44" s="37" t="s">
        <v>53</v>
      </c>
      <c r="P44" s="27" t="str">
        <f t="shared" si="6"/>
        <v>ГУ МВД РОССИИ ПО Г. МОСКВЕ</v>
      </c>
      <c r="Q44" s="28" t="s">
        <v>118</v>
      </c>
      <c r="R44" s="44">
        <v>2956185.16</v>
      </c>
      <c r="S44" s="29" t="s">
        <v>119</v>
      </c>
      <c r="T44" s="27" t="str">
        <f t="shared" si="7"/>
        <v>Электронный аукцион на право заключения государственного контракта на поставку мебели для ФКУЗ «МСЧ МВД России по г. Москве»</v>
      </c>
      <c r="U44" s="31">
        <v>41912.872627314799</v>
      </c>
      <c r="V44" s="27" t="str">
        <f>HYPERLINK("http://www.spark-marketing.ru/Participants/CardMain?id=1490809", "ООО ""НЭКСТ МЕБЕЛЬ""")</f>
        <v>ООО "НЭКСТ МЕБЕЛЬ"</v>
      </c>
      <c r="W44" s="28" t="s">
        <v>128</v>
      </c>
      <c r="X44" s="29" t="s">
        <v>53</v>
      </c>
      <c r="Y44" s="44">
        <v>2852718.65</v>
      </c>
      <c r="Z44" s="45">
        <v>3.5000009945249842E-2</v>
      </c>
      <c r="AA44" s="30" t="s">
        <v>56</v>
      </c>
      <c r="AB44" s="46">
        <v>7</v>
      </c>
      <c r="AC44" s="30" t="s">
        <v>61</v>
      </c>
      <c r="AD44" s="29" t="s">
        <v>53</v>
      </c>
      <c r="AE44" s="44" t="s">
        <v>53</v>
      </c>
      <c r="AF44" s="29" t="s">
        <v>53</v>
      </c>
      <c r="AG44" s="36" t="s">
        <v>53</v>
      </c>
      <c r="AH44" s="32" t="str">
        <f t="shared" si="8"/>
        <v>ссылка</v>
      </c>
    </row>
    <row r="45" spans="2:34" outlineLevel="1" x14ac:dyDescent="0.15">
      <c r="B45" s="34">
        <v>1</v>
      </c>
      <c r="C45" s="43" t="s">
        <v>129</v>
      </c>
      <c r="D45" s="35" t="s">
        <v>53</v>
      </c>
      <c r="E45" s="37" t="s">
        <v>53</v>
      </c>
      <c r="F45" s="37" t="s">
        <v>53</v>
      </c>
      <c r="G45" s="37" t="s">
        <v>54</v>
      </c>
      <c r="H45" s="37" t="s">
        <v>53</v>
      </c>
      <c r="I45" s="37" t="s">
        <v>53</v>
      </c>
      <c r="J45" s="37" t="s">
        <v>53</v>
      </c>
      <c r="K45" s="37" t="s">
        <v>53</v>
      </c>
      <c r="L45" s="37" t="s">
        <v>53</v>
      </c>
      <c r="M45" s="37" t="s">
        <v>53</v>
      </c>
      <c r="N45" s="37" t="s">
        <v>54</v>
      </c>
      <c r="O45" s="37" t="s">
        <v>53</v>
      </c>
      <c r="P45" s="27" t="str">
        <f>HYPERLINK("http://www.spark-marketing.ru/Participants/CardMain?id=580058", "ГБУ ""ГОРОДСКАЯ КЛИНИЧЕСКАЯ БОЛЬНИЦА СКОРОЙ МЕДИЦИНСКОЙ ПОМОЩИ"" Г.СТАВРОПОЛЯ")</f>
        <v>ГБУ "ГОРОДСКАЯ КЛИНИЧЕСКАЯ БОЛЬНИЦА СКОРОЙ МЕДИЦИНСКОЙ ПОМОЩИ" Г.СТАВРОПОЛЯ</v>
      </c>
      <c r="Q45" s="28" t="s">
        <v>130</v>
      </c>
      <c r="R45" s="44">
        <v>999734.15</v>
      </c>
      <c r="S45" s="29" t="s">
        <v>131</v>
      </c>
      <c r="T45" s="27" t="str">
        <f>HYPERLINK("http://www.spark-marketing.ru/Purchases/CardMain?packId=212820871", "Закупка лекарственных средств")</f>
        <v>Закупка лекарственных средств</v>
      </c>
      <c r="U45" s="31">
        <v>41912.871967592597</v>
      </c>
      <c r="V45" s="27" t="s">
        <v>53</v>
      </c>
      <c r="W45" s="28" t="s">
        <v>53</v>
      </c>
      <c r="X45" s="29" t="s">
        <v>53</v>
      </c>
      <c r="Y45" s="44" t="s">
        <v>53</v>
      </c>
      <c r="Z45" s="45" t="s">
        <v>53</v>
      </c>
      <c r="AA45" s="30" t="s">
        <v>56</v>
      </c>
      <c r="AB45" s="46">
        <v>4</v>
      </c>
      <c r="AC45" s="30" t="s">
        <v>61</v>
      </c>
      <c r="AD45" s="29" t="s">
        <v>132</v>
      </c>
      <c r="AE45" s="44">
        <v>737524.05</v>
      </c>
      <c r="AF45" s="29" t="s">
        <v>133</v>
      </c>
      <c r="AG45" s="36" t="s">
        <v>134</v>
      </c>
      <c r="AH45" s="32" t="str">
        <f>HYPERLINK("http://zakupki.gov.ru/epz/order/notice/ea44/view/common-info.html?regNumber=0321300003014000113", "ссылка")</f>
        <v>ссылка</v>
      </c>
    </row>
    <row r="46" spans="2:34" outlineLevel="1" x14ac:dyDescent="0.15">
      <c r="B46" s="34">
        <v>2</v>
      </c>
      <c r="C46" s="43" t="s">
        <v>129</v>
      </c>
      <c r="D46" s="35" t="s">
        <v>53</v>
      </c>
      <c r="E46" s="37" t="s">
        <v>53</v>
      </c>
      <c r="F46" s="37" t="s">
        <v>53</v>
      </c>
      <c r="G46" s="37" t="s">
        <v>54</v>
      </c>
      <c r="H46" s="37" t="s">
        <v>53</v>
      </c>
      <c r="I46" s="37" t="s">
        <v>53</v>
      </c>
      <c r="J46" s="37" t="s">
        <v>53</v>
      </c>
      <c r="K46" s="37" t="s">
        <v>53</v>
      </c>
      <c r="L46" s="37" t="s">
        <v>53</v>
      </c>
      <c r="M46" s="37" t="s">
        <v>53</v>
      </c>
      <c r="N46" s="37" t="s">
        <v>54</v>
      </c>
      <c r="O46" s="37" t="s">
        <v>53</v>
      </c>
      <c r="P46" s="27" t="str">
        <f>HYPERLINK("http://www.spark-marketing.ru/Participants/CardMain?id=580058", "ГБУ ""ГОРОДСКАЯ КЛИНИЧЕСКАЯ БОЛЬНИЦА СКОРОЙ МЕДИЦИНСКОЙ ПОМОЩИ"" Г.СТАВРОПОЛЯ")</f>
        <v>ГБУ "ГОРОДСКАЯ КЛИНИЧЕСКАЯ БОЛЬНИЦА СКОРОЙ МЕДИЦИНСКОЙ ПОМОЩИ" Г.СТАВРОПОЛЯ</v>
      </c>
      <c r="Q46" s="28" t="s">
        <v>130</v>
      </c>
      <c r="R46" s="44">
        <v>999734.15</v>
      </c>
      <c r="S46" s="29" t="s">
        <v>131</v>
      </c>
      <c r="T46" s="27" t="str">
        <f>HYPERLINK("http://www.spark-marketing.ru/Purchases/CardMain?packId=212820871", "Закупка лекарственных средств")</f>
        <v>Закупка лекарственных средств</v>
      </c>
      <c r="U46" s="31">
        <v>41912.871967592597</v>
      </c>
      <c r="V46" s="27" t="str">
        <f>HYPERLINK("http://www.spark-marketing.ru/Participants/CardMain?id=160131", "ООО ""САС""")</f>
        <v>ООО "САС"</v>
      </c>
      <c r="W46" s="28" t="s">
        <v>134</v>
      </c>
      <c r="X46" s="29" t="s">
        <v>12</v>
      </c>
      <c r="Y46" s="44">
        <v>945000</v>
      </c>
      <c r="Z46" s="45">
        <v>5.4748704943209152E-2</v>
      </c>
      <c r="AA46" s="30" t="s">
        <v>56</v>
      </c>
      <c r="AB46" s="46">
        <v>4</v>
      </c>
      <c r="AC46" s="30" t="s">
        <v>61</v>
      </c>
      <c r="AD46" s="29" t="s">
        <v>53</v>
      </c>
      <c r="AE46" s="44" t="s">
        <v>53</v>
      </c>
      <c r="AF46" s="29" t="s">
        <v>53</v>
      </c>
      <c r="AG46" s="36" t="s">
        <v>53</v>
      </c>
      <c r="AH46" s="32" t="str">
        <f>HYPERLINK("http://zakupki.gov.ru/epz/order/notice/ea44/view/common-info.html?regNumber=0321300003014000113", "ссылка")</f>
        <v>ссылка</v>
      </c>
    </row>
    <row r="47" spans="2:34" outlineLevel="1" x14ac:dyDescent="0.15">
      <c r="B47" s="34">
        <v>2</v>
      </c>
      <c r="C47" s="43" t="s">
        <v>129</v>
      </c>
      <c r="D47" s="35" t="s">
        <v>53</v>
      </c>
      <c r="E47" s="37" t="s">
        <v>53</v>
      </c>
      <c r="F47" s="37" t="s">
        <v>53</v>
      </c>
      <c r="G47" s="37" t="s">
        <v>54</v>
      </c>
      <c r="H47" s="37" t="s">
        <v>53</v>
      </c>
      <c r="I47" s="37" t="s">
        <v>53</v>
      </c>
      <c r="J47" s="37" t="s">
        <v>53</v>
      </c>
      <c r="K47" s="37" t="s">
        <v>53</v>
      </c>
      <c r="L47" s="37" t="s">
        <v>53</v>
      </c>
      <c r="M47" s="37" t="s">
        <v>53</v>
      </c>
      <c r="N47" s="37" t="s">
        <v>54</v>
      </c>
      <c r="O47" s="37" t="s">
        <v>53</v>
      </c>
      <c r="P47" s="27" t="str">
        <f>HYPERLINK("http://www.spark-marketing.ru/Participants/CardMain?id=580058", "ГБУ ""ГОРОДСКАЯ КЛИНИЧЕСКАЯ БОЛЬНИЦА СКОРОЙ МЕДИЦИНСКОЙ ПОМОЩИ"" Г.СТАВРОПОЛЯ")</f>
        <v>ГБУ "ГОРОДСКАЯ КЛИНИЧЕСКАЯ БОЛЬНИЦА СКОРОЙ МЕДИЦИНСКОЙ ПОМОЩИ" Г.СТАВРОПОЛЯ</v>
      </c>
      <c r="Q47" s="28" t="s">
        <v>130</v>
      </c>
      <c r="R47" s="44">
        <v>999734.15</v>
      </c>
      <c r="S47" s="29" t="s">
        <v>131</v>
      </c>
      <c r="T47" s="27" t="str">
        <f>HYPERLINK("http://www.spark-marketing.ru/Purchases/CardMain?packId=212820871", "Закупка лекарственных средств")</f>
        <v>Закупка лекарственных средств</v>
      </c>
      <c r="U47" s="31">
        <v>41912.871967592597</v>
      </c>
      <c r="V47" s="27" t="str">
        <f>HYPERLINK("http://www.spark-marketing.ru/Participants/CardMain?id=5125", "ЗАО НПЦ ""Эльфа""")</f>
        <v>ЗАО НПЦ "Эльфа"</v>
      </c>
      <c r="W47" s="28" t="s">
        <v>135</v>
      </c>
      <c r="X47" s="29" t="s">
        <v>53</v>
      </c>
      <c r="Y47" s="44" t="s">
        <v>53</v>
      </c>
      <c r="Z47" s="45" t="s">
        <v>53</v>
      </c>
      <c r="AA47" s="30" t="s">
        <v>56</v>
      </c>
      <c r="AB47" s="46">
        <v>4</v>
      </c>
      <c r="AC47" s="30" t="s">
        <v>61</v>
      </c>
      <c r="AD47" s="29" t="s">
        <v>53</v>
      </c>
      <c r="AE47" s="44" t="s">
        <v>53</v>
      </c>
      <c r="AF47" s="29" t="s">
        <v>53</v>
      </c>
      <c r="AG47" s="36" t="s">
        <v>53</v>
      </c>
      <c r="AH47" s="32" t="str">
        <f>HYPERLINK("http://zakupki.gov.ru/epz/order/notice/ea44/view/common-info.html?regNumber=0321300003014000113", "ссылка")</f>
        <v>ссылка</v>
      </c>
    </row>
    <row r="48" spans="2:34" x14ac:dyDescent="0.15">
      <c r="B48" s="34">
        <v>2</v>
      </c>
      <c r="C48" s="43" t="s">
        <v>129</v>
      </c>
      <c r="D48" s="35" t="s">
        <v>53</v>
      </c>
      <c r="E48" s="37" t="s">
        <v>53</v>
      </c>
      <c r="F48" s="37" t="s">
        <v>53</v>
      </c>
      <c r="G48" s="37" t="s">
        <v>54</v>
      </c>
      <c r="H48" s="37" t="s">
        <v>53</v>
      </c>
      <c r="I48" s="37" t="s">
        <v>53</v>
      </c>
      <c r="J48" s="37" t="s">
        <v>53</v>
      </c>
      <c r="K48" s="37" t="s">
        <v>53</v>
      </c>
      <c r="L48" s="37" t="s">
        <v>53</v>
      </c>
      <c r="M48" s="37" t="s">
        <v>53</v>
      </c>
      <c r="N48" s="37" t="s">
        <v>54</v>
      </c>
      <c r="O48" s="37" t="s">
        <v>53</v>
      </c>
      <c r="P48" s="27" t="str">
        <f>HYPERLINK("http://www.spark-marketing.ru/Participants/CardMain?id=580058", "ГБУ ""ГОРОДСКАЯ КЛИНИЧЕСКАЯ БОЛЬНИЦА СКОРОЙ МЕДИЦИНСКОЙ ПОМОЩИ"" Г.СТАВРОПОЛЯ")</f>
        <v>ГБУ "ГОРОДСКАЯ КЛИНИЧЕСКАЯ БОЛЬНИЦА СКОРОЙ МЕДИЦИНСКОЙ ПОМОЩИ" Г.СТАВРОПОЛЯ</v>
      </c>
      <c r="Q48" s="28" t="s">
        <v>130</v>
      </c>
      <c r="R48" s="44">
        <v>999734.15</v>
      </c>
      <c r="S48" s="29" t="s">
        <v>131</v>
      </c>
      <c r="T48" s="27" t="str">
        <f>HYPERLINK("http://www.spark-marketing.ru/Purchases/CardMain?packId=212820871", "Закупка лекарственных средств")</f>
        <v>Закупка лекарственных средств</v>
      </c>
      <c r="U48" s="31">
        <v>41912.871967592597</v>
      </c>
      <c r="V48" s="27" t="str">
        <f>HYPERLINK("http://www.spark-marketing.ru/Participants/CardMain?id=1021709", "ООО ""ЦЕНТРУМ""")</f>
        <v>ООО "ЦЕНТРУМ"</v>
      </c>
      <c r="W48" s="28" t="s">
        <v>136</v>
      </c>
      <c r="X48" s="29" t="s">
        <v>53</v>
      </c>
      <c r="Y48" s="44">
        <v>954746.12</v>
      </c>
      <c r="Z48" s="45">
        <v>4.4999993248205035E-2</v>
      </c>
      <c r="AA48" s="30" t="s">
        <v>56</v>
      </c>
      <c r="AB48" s="46">
        <v>4</v>
      </c>
      <c r="AC48" s="30" t="s">
        <v>61</v>
      </c>
      <c r="AD48" s="29" t="s">
        <v>53</v>
      </c>
      <c r="AE48" s="44" t="s">
        <v>53</v>
      </c>
      <c r="AF48" s="29" t="s">
        <v>53</v>
      </c>
      <c r="AG48" s="36" t="s">
        <v>53</v>
      </c>
      <c r="AH48" s="32" t="str">
        <f>HYPERLINK("http://zakupki.gov.ru/epz/order/notice/ea44/view/common-info.html?regNumber=0321300003014000113", "ссылка")</f>
        <v>ссылка</v>
      </c>
    </row>
    <row r="49" spans="2:34" outlineLevel="1" x14ac:dyDescent="0.15">
      <c r="B49" s="34">
        <v>2</v>
      </c>
      <c r="C49" s="43" t="s">
        <v>129</v>
      </c>
      <c r="D49" s="35" t="s">
        <v>53</v>
      </c>
      <c r="E49" s="37" t="s">
        <v>53</v>
      </c>
      <c r="F49" s="37" t="s">
        <v>53</v>
      </c>
      <c r="G49" s="37" t="s">
        <v>54</v>
      </c>
      <c r="H49" s="37" t="s">
        <v>53</v>
      </c>
      <c r="I49" s="37" t="s">
        <v>53</v>
      </c>
      <c r="J49" s="37" t="s">
        <v>53</v>
      </c>
      <c r="K49" s="37" t="s">
        <v>53</v>
      </c>
      <c r="L49" s="37" t="s">
        <v>53</v>
      </c>
      <c r="M49" s="37" t="s">
        <v>53</v>
      </c>
      <c r="N49" s="37" t="s">
        <v>54</v>
      </c>
      <c r="O49" s="37" t="s">
        <v>53</v>
      </c>
      <c r="P49" s="27" t="str">
        <f>HYPERLINK("http://www.spark-marketing.ru/Participants/CardMain?id=580058", "ГБУ ""ГОРОДСКАЯ КЛИНИЧЕСКАЯ БОЛЬНИЦА СКОРОЙ МЕДИЦИНСКОЙ ПОМОЩИ"" Г.СТАВРОПОЛЯ")</f>
        <v>ГБУ "ГОРОДСКАЯ КЛИНИЧЕСКАЯ БОЛЬНИЦА СКОРОЙ МЕДИЦИНСКОЙ ПОМОЩИ" Г.СТАВРОПОЛЯ</v>
      </c>
      <c r="Q49" s="28" t="s">
        <v>130</v>
      </c>
      <c r="R49" s="44">
        <v>999734.15</v>
      </c>
      <c r="S49" s="29" t="s">
        <v>131</v>
      </c>
      <c r="T49" s="27" t="str">
        <f>HYPERLINK("http://www.spark-marketing.ru/Purchases/CardMain?packId=212820871", "Закупка лекарственных средств")</f>
        <v>Закупка лекарственных средств</v>
      </c>
      <c r="U49" s="31">
        <v>41912.871967592597</v>
      </c>
      <c r="V49" s="27" t="str">
        <f>HYPERLINK("http://www.spark-marketing.ru/Participants/CardMain?id=3153771", "ООО ""Евро-Холл""")</f>
        <v>ООО "Евро-Холл"</v>
      </c>
      <c r="W49" s="28" t="s">
        <v>137</v>
      </c>
      <c r="X49" s="29" t="s">
        <v>53</v>
      </c>
      <c r="Y49" s="44">
        <v>994735.48</v>
      </c>
      <c r="Z49" s="45">
        <v>4.9999992498005593E-3</v>
      </c>
      <c r="AA49" s="30" t="s">
        <v>56</v>
      </c>
      <c r="AB49" s="46">
        <v>4</v>
      </c>
      <c r="AC49" s="30" t="s">
        <v>61</v>
      </c>
      <c r="AD49" s="29" t="s">
        <v>53</v>
      </c>
      <c r="AE49" s="44" t="s">
        <v>53</v>
      </c>
      <c r="AF49" s="29" t="s">
        <v>53</v>
      </c>
      <c r="AG49" s="36" t="s">
        <v>53</v>
      </c>
      <c r="AH49" s="32" t="str">
        <f>HYPERLINK("http://zakupki.gov.ru/epz/order/notice/ea44/view/common-info.html?regNumber=0321300003014000113", "ссылка")</f>
        <v>ссылка</v>
      </c>
    </row>
    <row r="50" spans="2:34" outlineLevel="1" x14ac:dyDescent="0.15">
      <c r="B50" s="34">
        <v>1</v>
      </c>
      <c r="C50" s="43" t="s">
        <v>102</v>
      </c>
      <c r="D50" s="35" t="s">
        <v>53</v>
      </c>
      <c r="E50" s="37" t="s">
        <v>53</v>
      </c>
      <c r="F50" s="37" t="s">
        <v>53</v>
      </c>
      <c r="G50" s="37" t="s">
        <v>54</v>
      </c>
      <c r="H50" s="37" t="s">
        <v>53</v>
      </c>
      <c r="I50" s="37" t="s">
        <v>53</v>
      </c>
      <c r="J50" s="37" t="s">
        <v>53</v>
      </c>
      <c r="K50" s="37" t="s">
        <v>53</v>
      </c>
      <c r="L50" s="37" t="s">
        <v>53</v>
      </c>
      <c r="M50" s="37" t="s">
        <v>53</v>
      </c>
      <c r="N50" s="37" t="s">
        <v>53</v>
      </c>
      <c r="O50" s="37" t="s">
        <v>54</v>
      </c>
      <c r="P50" s="27" t="str">
        <f>HYPERLINK("http://www.spark-marketing.ru/Participants/CardMain?id=55526", "ГБОУ ВПО ПСПБГМУ ИМ. И.П. ПАВЛОВА МИНЗДРАВА РОССИИ")</f>
        <v>ГБОУ ВПО ПСПБГМУ ИМ. И.П. ПАВЛОВА МИНЗДРАВА РОССИИ</v>
      </c>
      <c r="Q50" s="28" t="s">
        <v>138</v>
      </c>
      <c r="R50" s="44">
        <v>2545114</v>
      </c>
      <c r="S50" s="29" t="s">
        <v>139</v>
      </c>
      <c r="T50" s="27" t="str">
        <f>HYPERLINK("http://www.spark-marketing.ru/Purchases/CardMain?packId=212982825", "Поставка противомикробного препарата.")</f>
        <v>Поставка противомикробного препарата.</v>
      </c>
      <c r="U50" s="31">
        <v>41912.871226851901</v>
      </c>
      <c r="V50" s="27" t="s">
        <v>53</v>
      </c>
      <c r="W50" s="28" t="s">
        <v>53</v>
      </c>
      <c r="X50" s="29" t="s">
        <v>53</v>
      </c>
      <c r="Y50" s="44" t="s">
        <v>53</v>
      </c>
      <c r="Z50" s="45" t="s">
        <v>53</v>
      </c>
      <c r="AA50" s="30" t="s">
        <v>56</v>
      </c>
      <c r="AB50" s="46">
        <v>2</v>
      </c>
      <c r="AC50" s="30" t="s">
        <v>60</v>
      </c>
      <c r="AD50" s="29" t="s">
        <v>140</v>
      </c>
      <c r="AE50" s="44">
        <v>2785365.99</v>
      </c>
      <c r="AF50" s="29" t="s">
        <v>141</v>
      </c>
      <c r="AG50" s="36" t="s">
        <v>99</v>
      </c>
      <c r="AH50" s="32" t="str">
        <f>HYPERLINK("http://zakupki.gov.ru/epz/order/notice/ea44/view/common-info.html?regNumber=0372100010614000578", "ссылка")</f>
        <v>ссылка</v>
      </c>
    </row>
    <row r="51" spans="2:34" outlineLevel="1" x14ac:dyDescent="0.15">
      <c r="B51" s="34">
        <v>2</v>
      </c>
      <c r="C51" s="43" t="s">
        <v>102</v>
      </c>
      <c r="D51" s="35" t="s">
        <v>53</v>
      </c>
      <c r="E51" s="37" t="s">
        <v>53</v>
      </c>
      <c r="F51" s="37" t="s">
        <v>53</v>
      </c>
      <c r="G51" s="37" t="s">
        <v>54</v>
      </c>
      <c r="H51" s="37" t="s">
        <v>53</v>
      </c>
      <c r="I51" s="37" t="s">
        <v>53</v>
      </c>
      <c r="J51" s="37" t="s">
        <v>53</v>
      </c>
      <c r="K51" s="37" t="s">
        <v>53</v>
      </c>
      <c r="L51" s="37" t="s">
        <v>53</v>
      </c>
      <c r="M51" s="37" t="s">
        <v>53</v>
      </c>
      <c r="N51" s="37" t="s">
        <v>53</v>
      </c>
      <c r="O51" s="37" t="s">
        <v>54</v>
      </c>
      <c r="P51" s="27" t="str">
        <f>HYPERLINK("http://www.spark-marketing.ru/Participants/CardMain?id=55526", "ГБОУ ВПО ПСПБГМУ ИМ. И.П. ПАВЛОВА МИНЗДРАВА РОССИИ")</f>
        <v>ГБОУ ВПО ПСПБГМУ ИМ. И.П. ПАВЛОВА МИНЗДРАВА РОССИИ</v>
      </c>
      <c r="Q51" s="28" t="s">
        <v>138</v>
      </c>
      <c r="R51" s="44">
        <v>2545114</v>
      </c>
      <c r="S51" s="29" t="s">
        <v>139</v>
      </c>
      <c r="T51" s="27" t="str">
        <f>HYPERLINK("http://www.spark-marketing.ru/Purchases/CardMain?packId=212982825", "Поставка противомикробного препарата.")</f>
        <v>Поставка противомикробного препарата.</v>
      </c>
      <c r="U51" s="31">
        <v>41912.871226851901</v>
      </c>
      <c r="V51" s="27" t="str">
        <f>HYPERLINK("http://www.spark-marketing.ru/Participants/CardMain?id=1629", "ЗАО ""КОМПАНИЯ ""ИНТЕРМЕДСЕРВИС""")</f>
        <v>ЗАО "КОМПАНИЯ "ИНТЕРМЕДСЕРВИС"</v>
      </c>
      <c r="W51" s="28" t="s">
        <v>99</v>
      </c>
      <c r="X51" s="29" t="s">
        <v>12</v>
      </c>
      <c r="Y51" s="44">
        <v>2443306.4300000002</v>
      </c>
      <c r="Z51" s="45">
        <v>4.0001182658222778E-2</v>
      </c>
      <c r="AA51" s="30" t="s">
        <v>56</v>
      </c>
      <c r="AB51" s="46">
        <v>2</v>
      </c>
      <c r="AC51" s="30" t="s">
        <v>60</v>
      </c>
      <c r="AD51" s="29" t="s">
        <v>53</v>
      </c>
      <c r="AE51" s="44" t="s">
        <v>53</v>
      </c>
      <c r="AF51" s="29" t="s">
        <v>53</v>
      </c>
      <c r="AG51" s="36" t="s">
        <v>53</v>
      </c>
      <c r="AH51" s="32" t="str">
        <f>HYPERLINK("http://zakupki.gov.ru/epz/order/notice/ea44/view/common-info.html?regNumber=0372100010614000578", "ссылка")</f>
        <v>ссылка</v>
      </c>
    </row>
    <row r="52" spans="2:34" outlineLevel="1" x14ac:dyDescent="0.15">
      <c r="B52" s="34">
        <v>2</v>
      </c>
      <c r="C52" s="43" t="s">
        <v>102</v>
      </c>
      <c r="D52" s="35" t="s">
        <v>53</v>
      </c>
      <c r="E52" s="37" t="s">
        <v>53</v>
      </c>
      <c r="F52" s="37" t="s">
        <v>53</v>
      </c>
      <c r="G52" s="37" t="s">
        <v>54</v>
      </c>
      <c r="H52" s="37" t="s">
        <v>53</v>
      </c>
      <c r="I52" s="37" t="s">
        <v>53</v>
      </c>
      <c r="J52" s="37" t="s">
        <v>53</v>
      </c>
      <c r="K52" s="37" t="s">
        <v>53</v>
      </c>
      <c r="L52" s="37" t="s">
        <v>53</v>
      </c>
      <c r="M52" s="37" t="s">
        <v>53</v>
      </c>
      <c r="N52" s="37" t="s">
        <v>53</v>
      </c>
      <c r="O52" s="37" t="s">
        <v>54</v>
      </c>
      <c r="P52" s="27" t="str">
        <f>HYPERLINK("http://www.spark-marketing.ru/Participants/CardMain?id=55526", "ГБОУ ВПО ПСПБГМУ ИМ. И.П. ПАВЛОВА МИНЗДРАВА РОССИИ")</f>
        <v>ГБОУ ВПО ПСПБГМУ ИМ. И.П. ПАВЛОВА МИНЗДРАВА РОССИИ</v>
      </c>
      <c r="Q52" s="28" t="s">
        <v>138</v>
      </c>
      <c r="R52" s="44">
        <v>2545114</v>
      </c>
      <c r="S52" s="29" t="s">
        <v>139</v>
      </c>
      <c r="T52" s="27" t="str">
        <f>HYPERLINK("http://www.spark-marketing.ru/Purchases/CardMain?packId=212982825", "Поставка противомикробного препарата.")</f>
        <v>Поставка противомикробного препарата.</v>
      </c>
      <c r="U52" s="31">
        <v>41912.871226851901</v>
      </c>
      <c r="V52" s="27" t="str">
        <f>HYPERLINK("http://www.spark-marketing.ru/Participants/CardMain?id=1214", "ООО ""Фарм-Трэйд""")</f>
        <v>ООО "Фарм-Трэйд"</v>
      </c>
      <c r="W52" s="28" t="s">
        <v>142</v>
      </c>
      <c r="X52" s="29" t="s">
        <v>53</v>
      </c>
      <c r="Y52" s="44">
        <v>2456032</v>
      </c>
      <c r="Z52" s="45">
        <v>3.5001182658222774E-2</v>
      </c>
      <c r="AA52" s="30" t="s">
        <v>56</v>
      </c>
      <c r="AB52" s="46">
        <v>2</v>
      </c>
      <c r="AC52" s="30" t="s">
        <v>60</v>
      </c>
      <c r="AD52" s="29" t="s">
        <v>53</v>
      </c>
      <c r="AE52" s="44" t="s">
        <v>53</v>
      </c>
      <c r="AF52" s="29" t="s">
        <v>53</v>
      </c>
      <c r="AG52" s="36" t="s">
        <v>53</v>
      </c>
      <c r="AH52" s="32" t="str">
        <f>HYPERLINK("http://zakupki.gov.ru/epz/order/notice/ea44/view/common-info.html?regNumber=0372100010614000578", "ссылка")</f>
        <v>ссылка</v>
      </c>
    </row>
    <row r="53" spans="2:34" outlineLevel="1" x14ac:dyDescent="0.15">
      <c r="B53" s="34">
        <v>1</v>
      </c>
      <c r="C53" s="43" t="s">
        <v>110</v>
      </c>
      <c r="D53" s="35" t="s">
        <v>53</v>
      </c>
      <c r="E53" s="37" t="s">
        <v>53</v>
      </c>
      <c r="F53" s="37" t="s">
        <v>54</v>
      </c>
      <c r="G53" s="37" t="s">
        <v>54</v>
      </c>
      <c r="H53" s="37" t="s">
        <v>53</v>
      </c>
      <c r="I53" s="37" t="s">
        <v>53</v>
      </c>
      <c r="J53" s="37" t="s">
        <v>53</v>
      </c>
      <c r="K53" s="37" t="s">
        <v>53</v>
      </c>
      <c r="L53" s="37" t="s">
        <v>53</v>
      </c>
      <c r="M53" s="37" t="s">
        <v>53</v>
      </c>
      <c r="N53" s="37" t="s">
        <v>53</v>
      </c>
      <c r="O53" s="37" t="s">
        <v>53</v>
      </c>
      <c r="P53" s="27" t="str">
        <f t="shared" ref="P53:P58" si="9">HYPERLINK("http://www.spark-marketing.ru/Participants/CardMain?id=177782", "Управление МВД России по г. Кемерово")</f>
        <v>Управление МВД России по г. Кемерово</v>
      </c>
      <c r="Q53" s="28" t="s">
        <v>143</v>
      </c>
      <c r="R53" s="44">
        <v>100950</v>
      </c>
      <c r="S53" s="29" t="s">
        <v>144</v>
      </c>
      <c r="T53" s="27" t="str">
        <f t="shared" ref="T53:T58" si="10">HYPERLINK("http://www.spark-marketing.ru/Purchases/CardMain?packId=212828069", "Поставка расходных материалов (тонеров) к принтерам и многофункциональным устройствам")</f>
        <v>Поставка расходных материалов (тонеров) к принтерам и многофункциональным устройствам</v>
      </c>
      <c r="U53" s="31">
        <v>41912.862881944398</v>
      </c>
      <c r="V53" s="27" t="s">
        <v>53</v>
      </c>
      <c r="W53" s="28" t="s">
        <v>53</v>
      </c>
      <c r="X53" s="29" t="s">
        <v>53</v>
      </c>
      <c r="Y53" s="44" t="s">
        <v>53</v>
      </c>
      <c r="Z53" s="45" t="s">
        <v>53</v>
      </c>
      <c r="AA53" s="30" t="s">
        <v>56</v>
      </c>
      <c r="AB53" s="46">
        <v>5</v>
      </c>
      <c r="AC53" s="30" t="s">
        <v>60</v>
      </c>
      <c r="AD53" s="29" t="s">
        <v>145</v>
      </c>
      <c r="AE53" s="44">
        <v>100853.96</v>
      </c>
      <c r="AF53" s="29" t="s">
        <v>146</v>
      </c>
      <c r="AG53" s="36" t="s">
        <v>147</v>
      </c>
      <c r="AH53" s="32" t="str">
        <f t="shared" ref="AH53:AH58" si="11">HYPERLINK("http://zakupki.gov.ru/epz/order/notice/ea44/view/common-info.html?regNumber=0139100004814000094", "ссылка")</f>
        <v>ссылка</v>
      </c>
    </row>
    <row r="54" spans="2:34" outlineLevel="1" x14ac:dyDescent="0.15">
      <c r="B54" s="34">
        <v>2</v>
      </c>
      <c r="C54" s="43" t="s">
        <v>110</v>
      </c>
      <c r="D54" s="35" t="s">
        <v>53</v>
      </c>
      <c r="E54" s="37" t="s">
        <v>53</v>
      </c>
      <c r="F54" s="37" t="s">
        <v>54</v>
      </c>
      <c r="G54" s="37" t="s">
        <v>54</v>
      </c>
      <c r="H54" s="37" t="s">
        <v>53</v>
      </c>
      <c r="I54" s="37" t="s">
        <v>53</v>
      </c>
      <c r="J54" s="37" t="s">
        <v>53</v>
      </c>
      <c r="K54" s="37" t="s">
        <v>53</v>
      </c>
      <c r="L54" s="37" t="s">
        <v>53</v>
      </c>
      <c r="M54" s="37" t="s">
        <v>53</v>
      </c>
      <c r="N54" s="37" t="s">
        <v>53</v>
      </c>
      <c r="O54" s="37" t="s">
        <v>53</v>
      </c>
      <c r="P54" s="27" t="str">
        <f t="shared" si="9"/>
        <v>Управление МВД России по г. Кемерово</v>
      </c>
      <c r="Q54" s="28" t="s">
        <v>143</v>
      </c>
      <c r="R54" s="44">
        <v>100950</v>
      </c>
      <c r="S54" s="29" t="s">
        <v>144</v>
      </c>
      <c r="T54" s="27" t="str">
        <f t="shared" si="10"/>
        <v>Поставка расходных материалов (тонеров) к принтерам и многофункциональным устройствам</v>
      </c>
      <c r="U54" s="31">
        <v>41912.862881944398</v>
      </c>
      <c r="V54" s="27" t="str">
        <f>HYPERLINK("http://www.spark-marketing.ru/Participants/CardMain?id=179523", "ООО ""МИКРОНЭТ""")</f>
        <v>ООО "МИКРОНЭТ"</v>
      </c>
      <c r="W54" s="28" t="s">
        <v>147</v>
      </c>
      <c r="X54" s="29" t="s">
        <v>12</v>
      </c>
      <c r="Y54" s="44">
        <v>55424</v>
      </c>
      <c r="Z54" s="45">
        <v>0.45097573055968299</v>
      </c>
      <c r="AA54" s="30" t="s">
        <v>56</v>
      </c>
      <c r="AB54" s="46">
        <v>5</v>
      </c>
      <c r="AC54" s="30" t="s">
        <v>60</v>
      </c>
      <c r="AD54" s="29" t="s">
        <v>53</v>
      </c>
      <c r="AE54" s="44" t="s">
        <v>53</v>
      </c>
      <c r="AF54" s="29" t="s">
        <v>53</v>
      </c>
      <c r="AG54" s="36" t="s">
        <v>53</v>
      </c>
      <c r="AH54" s="32" t="str">
        <f t="shared" si="11"/>
        <v>ссылка</v>
      </c>
    </row>
    <row r="55" spans="2:34" outlineLevel="1" x14ac:dyDescent="0.15">
      <c r="B55" s="34">
        <v>2</v>
      </c>
      <c r="C55" s="43" t="s">
        <v>110</v>
      </c>
      <c r="D55" s="35" t="s">
        <v>53</v>
      </c>
      <c r="E55" s="37" t="s">
        <v>53</v>
      </c>
      <c r="F55" s="37" t="s">
        <v>54</v>
      </c>
      <c r="G55" s="37" t="s">
        <v>54</v>
      </c>
      <c r="H55" s="37" t="s">
        <v>53</v>
      </c>
      <c r="I55" s="37" t="s">
        <v>53</v>
      </c>
      <c r="J55" s="37" t="s">
        <v>53</v>
      </c>
      <c r="K55" s="37" t="s">
        <v>53</v>
      </c>
      <c r="L55" s="37" t="s">
        <v>53</v>
      </c>
      <c r="M55" s="37" t="s">
        <v>53</v>
      </c>
      <c r="N55" s="37" t="s">
        <v>53</v>
      </c>
      <c r="O55" s="37" t="s">
        <v>53</v>
      </c>
      <c r="P55" s="27" t="str">
        <f t="shared" si="9"/>
        <v>Управление МВД России по г. Кемерово</v>
      </c>
      <c r="Q55" s="28" t="s">
        <v>143</v>
      </c>
      <c r="R55" s="44">
        <v>100950</v>
      </c>
      <c r="S55" s="29" t="s">
        <v>144</v>
      </c>
      <c r="T55" s="27" t="str">
        <f t="shared" si="10"/>
        <v>Поставка расходных материалов (тонеров) к принтерам и многофункциональным устройствам</v>
      </c>
      <c r="U55" s="31">
        <v>41912.862881944398</v>
      </c>
      <c r="V55" s="27" t="str">
        <f>HYPERLINK("http://www.spark-marketing.ru/Participants/CardMain?id=3415798", "ООО ""КОМПАНИЯ СОВРЕМЕННЫЕ РЕШЕНИЯ""")</f>
        <v>ООО "КОМПАНИЯ СОВРЕМЕННЫЕ РЕШЕНИЯ"</v>
      </c>
      <c r="W55" s="28" t="s">
        <v>148</v>
      </c>
      <c r="X55" s="29" t="s">
        <v>53</v>
      </c>
      <c r="Y55" s="44">
        <v>55981</v>
      </c>
      <c r="Z55" s="45">
        <v>0.44545814759782071</v>
      </c>
      <c r="AA55" s="30" t="s">
        <v>56</v>
      </c>
      <c r="AB55" s="46">
        <v>5</v>
      </c>
      <c r="AC55" s="30" t="s">
        <v>60</v>
      </c>
      <c r="AD55" s="29" t="s">
        <v>53</v>
      </c>
      <c r="AE55" s="44" t="s">
        <v>53</v>
      </c>
      <c r="AF55" s="29" t="s">
        <v>53</v>
      </c>
      <c r="AG55" s="36" t="s">
        <v>53</v>
      </c>
      <c r="AH55" s="32" t="str">
        <f t="shared" si="11"/>
        <v>ссылка</v>
      </c>
    </row>
    <row r="56" spans="2:34" x14ac:dyDescent="0.15">
      <c r="B56" s="34">
        <v>2</v>
      </c>
      <c r="C56" s="43" t="s">
        <v>110</v>
      </c>
      <c r="D56" s="35" t="s">
        <v>53</v>
      </c>
      <c r="E56" s="37" t="s">
        <v>53</v>
      </c>
      <c r="F56" s="37" t="s">
        <v>54</v>
      </c>
      <c r="G56" s="37" t="s">
        <v>54</v>
      </c>
      <c r="H56" s="37" t="s">
        <v>53</v>
      </c>
      <c r="I56" s="37" t="s">
        <v>53</v>
      </c>
      <c r="J56" s="37" t="s">
        <v>53</v>
      </c>
      <c r="K56" s="37" t="s">
        <v>53</v>
      </c>
      <c r="L56" s="37" t="s">
        <v>53</v>
      </c>
      <c r="M56" s="37" t="s">
        <v>53</v>
      </c>
      <c r="N56" s="37" t="s">
        <v>53</v>
      </c>
      <c r="O56" s="37" t="s">
        <v>53</v>
      </c>
      <c r="P56" s="27" t="str">
        <f t="shared" si="9"/>
        <v>Управление МВД России по г. Кемерово</v>
      </c>
      <c r="Q56" s="28" t="s">
        <v>143</v>
      </c>
      <c r="R56" s="44">
        <v>100950</v>
      </c>
      <c r="S56" s="29" t="s">
        <v>144</v>
      </c>
      <c r="T56" s="27" t="str">
        <f t="shared" si="10"/>
        <v>Поставка расходных материалов (тонеров) к принтерам и многофункциональным устройствам</v>
      </c>
      <c r="U56" s="31">
        <v>41912.862881944398</v>
      </c>
      <c r="V56" s="27" t="str">
        <f>HYPERLINK("http://www.spark-marketing.ru/Participants/CardMain?id=597790", "ООО ""АльянсКомплект""")</f>
        <v>ООО "АльянсКомплект"</v>
      </c>
      <c r="W56" s="28" t="s">
        <v>149</v>
      </c>
      <c r="X56" s="29" t="s">
        <v>53</v>
      </c>
      <c r="Y56" s="44">
        <v>58000</v>
      </c>
      <c r="Z56" s="45">
        <v>0.42545814759782069</v>
      </c>
      <c r="AA56" s="30" t="s">
        <v>56</v>
      </c>
      <c r="AB56" s="46">
        <v>5</v>
      </c>
      <c r="AC56" s="30" t="s">
        <v>60</v>
      </c>
      <c r="AD56" s="29" t="s">
        <v>53</v>
      </c>
      <c r="AE56" s="44" t="s">
        <v>53</v>
      </c>
      <c r="AF56" s="29" t="s">
        <v>53</v>
      </c>
      <c r="AG56" s="36" t="s">
        <v>53</v>
      </c>
      <c r="AH56" s="32" t="str">
        <f t="shared" si="11"/>
        <v>ссылка</v>
      </c>
    </row>
    <row r="57" spans="2:34" outlineLevel="1" x14ac:dyDescent="0.15">
      <c r="B57" s="34">
        <v>2</v>
      </c>
      <c r="C57" s="43" t="s">
        <v>110</v>
      </c>
      <c r="D57" s="35" t="s">
        <v>53</v>
      </c>
      <c r="E57" s="37" t="s">
        <v>53</v>
      </c>
      <c r="F57" s="37" t="s">
        <v>54</v>
      </c>
      <c r="G57" s="37" t="s">
        <v>54</v>
      </c>
      <c r="H57" s="37" t="s">
        <v>53</v>
      </c>
      <c r="I57" s="37" t="s">
        <v>53</v>
      </c>
      <c r="J57" s="37" t="s">
        <v>53</v>
      </c>
      <c r="K57" s="37" t="s">
        <v>53</v>
      </c>
      <c r="L57" s="37" t="s">
        <v>53</v>
      </c>
      <c r="M57" s="37" t="s">
        <v>53</v>
      </c>
      <c r="N57" s="37" t="s">
        <v>53</v>
      </c>
      <c r="O57" s="37" t="s">
        <v>53</v>
      </c>
      <c r="P57" s="27" t="str">
        <f t="shared" si="9"/>
        <v>Управление МВД России по г. Кемерово</v>
      </c>
      <c r="Q57" s="28" t="s">
        <v>143</v>
      </c>
      <c r="R57" s="44">
        <v>100950</v>
      </c>
      <c r="S57" s="29" t="s">
        <v>144</v>
      </c>
      <c r="T57" s="27" t="str">
        <f t="shared" si="10"/>
        <v>Поставка расходных материалов (тонеров) к принтерам и многофункциональным устройствам</v>
      </c>
      <c r="U57" s="31">
        <v>41912.862881944398</v>
      </c>
      <c r="V57" s="27" t="str">
        <f>HYPERLINK("http://www.spark-marketing.ru/Participants/CardMain?id=2835364", "ООО ""СИБИРЬ КС""")</f>
        <v>ООО "СИБИРЬ КС"</v>
      </c>
      <c r="W57" s="28" t="s">
        <v>150</v>
      </c>
      <c r="X57" s="29" t="s">
        <v>53</v>
      </c>
      <c r="Y57" s="44">
        <v>65000</v>
      </c>
      <c r="Z57" s="45">
        <v>0.35611688954928183</v>
      </c>
      <c r="AA57" s="30" t="s">
        <v>56</v>
      </c>
      <c r="AB57" s="46">
        <v>5</v>
      </c>
      <c r="AC57" s="30" t="s">
        <v>60</v>
      </c>
      <c r="AD57" s="29" t="s">
        <v>53</v>
      </c>
      <c r="AE57" s="44" t="s">
        <v>53</v>
      </c>
      <c r="AF57" s="29" t="s">
        <v>53</v>
      </c>
      <c r="AG57" s="36" t="s">
        <v>53</v>
      </c>
      <c r="AH57" s="32" t="str">
        <f t="shared" si="11"/>
        <v>ссылка</v>
      </c>
    </row>
    <row r="58" spans="2:34" outlineLevel="1" x14ac:dyDescent="0.15">
      <c r="B58" s="34">
        <v>2</v>
      </c>
      <c r="C58" s="43" t="s">
        <v>110</v>
      </c>
      <c r="D58" s="35" t="s">
        <v>53</v>
      </c>
      <c r="E58" s="37" t="s">
        <v>53</v>
      </c>
      <c r="F58" s="37" t="s">
        <v>54</v>
      </c>
      <c r="G58" s="37" t="s">
        <v>54</v>
      </c>
      <c r="H58" s="37" t="s">
        <v>53</v>
      </c>
      <c r="I58" s="37" t="s">
        <v>53</v>
      </c>
      <c r="J58" s="37" t="s">
        <v>53</v>
      </c>
      <c r="K58" s="37" t="s">
        <v>53</v>
      </c>
      <c r="L58" s="37" t="s">
        <v>53</v>
      </c>
      <c r="M58" s="37" t="s">
        <v>53</v>
      </c>
      <c r="N58" s="37" t="s">
        <v>53</v>
      </c>
      <c r="O58" s="37" t="s">
        <v>53</v>
      </c>
      <c r="P58" s="27" t="str">
        <f t="shared" si="9"/>
        <v>Управление МВД России по г. Кемерово</v>
      </c>
      <c r="Q58" s="28" t="s">
        <v>143</v>
      </c>
      <c r="R58" s="44">
        <v>100950</v>
      </c>
      <c r="S58" s="29" t="s">
        <v>144</v>
      </c>
      <c r="T58" s="27" t="str">
        <f t="shared" si="10"/>
        <v>Поставка расходных материалов (тонеров) к принтерам и многофункциональным устройствам</v>
      </c>
      <c r="U58" s="31">
        <v>41912.862881944398</v>
      </c>
      <c r="V58" s="27" t="str">
        <f>HYPERLINK("http://www.spark-marketing.ru/Participants/CardMain?id=3249851", "ООО ""Корнер""")</f>
        <v>ООО "Корнер"</v>
      </c>
      <c r="W58" s="28" t="s">
        <v>151</v>
      </c>
      <c r="X58" s="29" t="s">
        <v>53</v>
      </c>
      <c r="Y58" s="44">
        <v>81495.25</v>
      </c>
      <c r="Z58" s="45">
        <v>0.19271669143140169</v>
      </c>
      <c r="AA58" s="30" t="s">
        <v>56</v>
      </c>
      <c r="AB58" s="46">
        <v>5</v>
      </c>
      <c r="AC58" s="30" t="s">
        <v>60</v>
      </c>
      <c r="AD58" s="29" t="s">
        <v>53</v>
      </c>
      <c r="AE58" s="44" t="s">
        <v>53</v>
      </c>
      <c r="AF58" s="29" t="s">
        <v>53</v>
      </c>
      <c r="AG58" s="36" t="s">
        <v>53</v>
      </c>
      <c r="AH58" s="32" t="str">
        <f t="shared" si="11"/>
        <v>ссылка</v>
      </c>
    </row>
    <row r="59" spans="2:34" outlineLevel="1" x14ac:dyDescent="0.15">
      <c r="B59" s="34">
        <v>1</v>
      </c>
      <c r="C59" s="43" t="s">
        <v>59</v>
      </c>
      <c r="D59" s="35" t="s">
        <v>54</v>
      </c>
      <c r="E59" s="37" t="s">
        <v>53</v>
      </c>
      <c r="F59" s="37" t="s">
        <v>53</v>
      </c>
      <c r="G59" s="37" t="s">
        <v>54</v>
      </c>
      <c r="H59" s="37" t="s">
        <v>53</v>
      </c>
      <c r="I59" s="37" t="s">
        <v>53</v>
      </c>
      <c r="J59" s="37" t="s">
        <v>53</v>
      </c>
      <c r="K59" s="37" t="s">
        <v>53</v>
      </c>
      <c r="L59" s="37" t="s">
        <v>53</v>
      </c>
      <c r="M59" s="37" t="s">
        <v>53</v>
      </c>
      <c r="N59" s="37" t="s">
        <v>53</v>
      </c>
      <c r="O59" s="37" t="s">
        <v>53</v>
      </c>
      <c r="P59" s="27" t="str">
        <f>HYPERLINK("http://www.spark-marketing.ru/Participants/CardMain?id=67399", "Брянская таможня")</f>
        <v>Брянская таможня</v>
      </c>
      <c r="Q59" s="28" t="s">
        <v>152</v>
      </c>
      <c r="R59" s="44">
        <v>1575000</v>
      </c>
      <c r="S59" s="29" t="s">
        <v>153</v>
      </c>
      <c r="T59" s="27" t="str">
        <f>HYPERLINK("http://www.spark-marketing.ru/Purchases/CardMain?packId=212967992", "Поставка дизельного топлива для котельных и ДЭС Брянской таможни.")</f>
        <v>Поставка дизельного топлива для котельных и ДЭС Брянской таможни.</v>
      </c>
      <c r="U59" s="31">
        <v>41912.861226851899</v>
      </c>
      <c r="V59" s="27" t="str">
        <f>HYPERLINK("http://www.spark-marketing.ru/Participants/CardMain?id=68200", "ООО ""Торговый Дом ""Держава Плюс""")</f>
        <v>ООО "Торговый Дом "Держава Плюс"</v>
      </c>
      <c r="W59" s="28" t="s">
        <v>154</v>
      </c>
      <c r="X59" s="29" t="s">
        <v>12</v>
      </c>
      <c r="Y59" s="44">
        <v>1567125</v>
      </c>
      <c r="Z59" s="45">
        <v>5.0000000000000001E-3</v>
      </c>
      <c r="AA59" s="30" t="s">
        <v>56</v>
      </c>
      <c r="AB59" s="46">
        <v>1</v>
      </c>
      <c r="AC59" s="30" t="s">
        <v>60</v>
      </c>
      <c r="AD59" s="29" t="s">
        <v>155</v>
      </c>
      <c r="AE59" s="44">
        <v>1566900</v>
      </c>
      <c r="AF59" s="29" t="s">
        <v>156</v>
      </c>
      <c r="AG59" s="36" t="s">
        <v>154</v>
      </c>
      <c r="AH59" s="32" t="str">
        <f>HYPERLINK("http://zakupki.gov.ru/epz/order/notice/ea44/view/common-info.html?regNumber=0127100003114000098", "ссылка")</f>
        <v>ссылка</v>
      </c>
    </row>
    <row r="60" spans="2:34" outlineLevel="1" x14ac:dyDescent="0.15">
      <c r="B60" s="34">
        <v>1</v>
      </c>
      <c r="C60" s="43" t="s">
        <v>59</v>
      </c>
      <c r="D60" s="35" t="s">
        <v>54</v>
      </c>
      <c r="E60" s="37" t="s">
        <v>53</v>
      </c>
      <c r="F60" s="37" t="s">
        <v>53</v>
      </c>
      <c r="G60" s="37" t="s">
        <v>54</v>
      </c>
      <c r="H60" s="37" t="s">
        <v>53</v>
      </c>
      <c r="I60" s="37" t="s">
        <v>53</v>
      </c>
      <c r="J60" s="37" t="s">
        <v>53</v>
      </c>
      <c r="K60" s="37" t="s">
        <v>53</v>
      </c>
      <c r="L60" s="37" t="s">
        <v>53</v>
      </c>
      <c r="M60" s="37" t="s">
        <v>53</v>
      </c>
      <c r="N60" s="37" t="s">
        <v>53</v>
      </c>
      <c r="O60" s="37" t="s">
        <v>53</v>
      </c>
      <c r="P60" s="27" t="str">
        <f>HYPERLINK("http://www.spark-marketing.ru/Participants/CardMain?id=536068", "СПб ГБУЗ ""Больница Боткина""")</f>
        <v>СПб ГБУЗ "Больница Боткина"</v>
      </c>
      <c r="Q60" s="28" t="s">
        <v>157</v>
      </c>
      <c r="R60" s="44">
        <v>3453940</v>
      </c>
      <c r="S60" s="29" t="s">
        <v>158</v>
      </c>
      <c r="T60" s="27" t="str">
        <f>HYPERLINK("http://www.spark-marketing.ru/Purchases/CardMain?packId=212982985", "Поставка расходных материалов для вакуумного забора крови для нужд Санкт-Петербургского государственного бюджетного учреждения здравоохранения «Клиническая инфекционная больница им. С.П. Боткина» в 2014 году.")</f>
        <v>Поставка расходных материалов для вакуумного забора крови для нужд Санкт-Петербургского государственного бюджетного учреждения здравоохранения «Клиническая инфекционная больница им. С.П. Боткина» в 2014 году.</v>
      </c>
      <c r="U60" s="31">
        <v>41912.857789351903</v>
      </c>
      <c r="V60" s="27" t="s">
        <v>53</v>
      </c>
      <c r="W60" s="28" t="s">
        <v>53</v>
      </c>
      <c r="X60" s="29" t="s">
        <v>53</v>
      </c>
      <c r="Y60" s="44" t="s">
        <v>53</v>
      </c>
      <c r="Z60" s="45" t="s">
        <v>53</v>
      </c>
      <c r="AA60" s="30" t="s">
        <v>56</v>
      </c>
      <c r="AB60" s="46">
        <v>2</v>
      </c>
      <c r="AC60" s="30" t="s">
        <v>60</v>
      </c>
      <c r="AD60" s="29" t="s">
        <v>159</v>
      </c>
      <c r="AE60" s="44">
        <v>3419340</v>
      </c>
      <c r="AF60" s="29" t="s">
        <v>160</v>
      </c>
      <c r="AG60" s="36" t="s">
        <v>161</v>
      </c>
      <c r="AH60" s="32" t="str">
        <f>HYPERLINK("http://zakupki.gov.ru/epz/order/notice/ea44/view/common-info.html?regNumber=0372200168114000188", "ссылка")</f>
        <v>ссылка</v>
      </c>
    </row>
    <row r="61" spans="2:34" outlineLevel="1" x14ac:dyDescent="0.15">
      <c r="B61" s="34">
        <v>2</v>
      </c>
      <c r="C61" s="43" t="s">
        <v>59</v>
      </c>
      <c r="D61" s="35" t="s">
        <v>54</v>
      </c>
      <c r="E61" s="37" t="s">
        <v>53</v>
      </c>
      <c r="F61" s="37" t="s">
        <v>53</v>
      </c>
      <c r="G61" s="37" t="s">
        <v>54</v>
      </c>
      <c r="H61" s="37" t="s">
        <v>53</v>
      </c>
      <c r="I61" s="37" t="s">
        <v>53</v>
      </c>
      <c r="J61" s="37" t="s">
        <v>53</v>
      </c>
      <c r="K61" s="37" t="s">
        <v>53</v>
      </c>
      <c r="L61" s="37" t="s">
        <v>53</v>
      </c>
      <c r="M61" s="37" t="s">
        <v>53</v>
      </c>
      <c r="N61" s="37" t="s">
        <v>53</v>
      </c>
      <c r="O61" s="37" t="s">
        <v>53</v>
      </c>
      <c r="P61" s="27" t="str">
        <f>HYPERLINK("http://www.spark-marketing.ru/Participants/CardMain?id=536068", "СПб ГБУЗ ""Больница Боткина""")</f>
        <v>СПб ГБУЗ "Больница Боткина"</v>
      </c>
      <c r="Q61" s="28" t="s">
        <v>157</v>
      </c>
      <c r="R61" s="44">
        <v>3453940</v>
      </c>
      <c r="S61" s="29" t="s">
        <v>158</v>
      </c>
      <c r="T61" s="27" t="str">
        <f>HYPERLINK("http://www.spark-marketing.ru/Purchases/CardMain?packId=212982985", "Поставка расходных материалов для вакуумного забора крови для нужд Санкт-Петербургского государственного бюджетного учреждения здравоохранения «Клиническая инфекционная больница им. С.П. Боткина» в 2014 году.")</f>
        <v>Поставка расходных материалов для вакуумного забора крови для нужд Санкт-Петербургского государственного бюджетного учреждения здравоохранения «Клиническая инфекционная больница им. С.П. Боткина» в 2014 году.</v>
      </c>
      <c r="U61" s="31">
        <v>41912.857789351903</v>
      </c>
      <c r="V61" s="27" t="str">
        <f>HYPERLINK("http://www.spark-marketing.ru/Participants/CardMain?id=27402", "ООО ""КОРВЭЙ""")</f>
        <v>ООО "КОРВЭЙ"</v>
      </c>
      <c r="W61" s="28" t="s">
        <v>161</v>
      </c>
      <c r="X61" s="29" t="s">
        <v>12</v>
      </c>
      <c r="Y61" s="44">
        <v>3419400</v>
      </c>
      <c r="Z61" s="45">
        <v>1.0000173714656306E-2</v>
      </c>
      <c r="AA61" s="30" t="s">
        <v>56</v>
      </c>
      <c r="AB61" s="46">
        <v>2</v>
      </c>
      <c r="AC61" s="30" t="s">
        <v>60</v>
      </c>
      <c r="AD61" s="29" t="s">
        <v>53</v>
      </c>
      <c r="AE61" s="44" t="s">
        <v>53</v>
      </c>
      <c r="AF61" s="29" t="s">
        <v>53</v>
      </c>
      <c r="AG61" s="36" t="s">
        <v>53</v>
      </c>
      <c r="AH61" s="32" t="str">
        <f>HYPERLINK("http://zakupki.gov.ru/epz/order/notice/ea44/view/common-info.html?regNumber=0372200168114000188", "ссылка")</f>
        <v>ссылка</v>
      </c>
    </row>
    <row r="62" spans="2:34" x14ac:dyDescent="0.15">
      <c r="B62" s="34">
        <v>2</v>
      </c>
      <c r="C62" s="43" t="s">
        <v>59</v>
      </c>
      <c r="D62" s="35" t="s">
        <v>54</v>
      </c>
      <c r="E62" s="37" t="s">
        <v>53</v>
      </c>
      <c r="F62" s="37" t="s">
        <v>53</v>
      </c>
      <c r="G62" s="37" t="s">
        <v>54</v>
      </c>
      <c r="H62" s="37" t="s">
        <v>53</v>
      </c>
      <c r="I62" s="37" t="s">
        <v>53</v>
      </c>
      <c r="J62" s="37" t="s">
        <v>53</v>
      </c>
      <c r="K62" s="37" t="s">
        <v>53</v>
      </c>
      <c r="L62" s="37" t="s">
        <v>53</v>
      </c>
      <c r="M62" s="37" t="s">
        <v>53</v>
      </c>
      <c r="N62" s="37" t="s">
        <v>53</v>
      </c>
      <c r="O62" s="37" t="s">
        <v>53</v>
      </c>
      <c r="P62" s="27" t="str">
        <f>HYPERLINK("http://www.spark-marketing.ru/Participants/CardMain?id=536068", "СПб ГБУЗ ""Больница Боткина""")</f>
        <v>СПб ГБУЗ "Больница Боткина"</v>
      </c>
      <c r="Q62" s="28" t="s">
        <v>157</v>
      </c>
      <c r="R62" s="44">
        <v>3453940</v>
      </c>
      <c r="S62" s="29" t="s">
        <v>158</v>
      </c>
      <c r="T62" s="27" t="str">
        <f>HYPERLINK("http://www.spark-marketing.ru/Purchases/CardMain?packId=212982985", "Поставка расходных материалов для вакуумного забора крови для нужд Санкт-Петербургского государственного бюджетного учреждения здравоохранения «Клиническая инфекционная больница им. С.П. Боткина» в 2014 году.")</f>
        <v>Поставка расходных материалов для вакуумного забора крови для нужд Санкт-Петербургского государственного бюджетного учреждения здравоохранения «Клиническая инфекционная больница им. С.П. Боткина» в 2014 году.</v>
      </c>
      <c r="U62" s="31">
        <v>41912.857789351903</v>
      </c>
      <c r="V62" s="27" t="str">
        <f>HYPERLINK("http://www.spark-marketing.ru/Participants/CardMain?id=29526", "ООО ""Диалабсервис""")</f>
        <v>ООО "Диалабсервис"</v>
      </c>
      <c r="W62" s="28" t="s">
        <v>162</v>
      </c>
      <c r="X62" s="29" t="s">
        <v>53</v>
      </c>
      <c r="Y62" s="44">
        <v>3436670.3</v>
      </c>
      <c r="Z62" s="45">
        <v>5.0000000000000001E-3</v>
      </c>
      <c r="AA62" s="30" t="s">
        <v>56</v>
      </c>
      <c r="AB62" s="46">
        <v>2</v>
      </c>
      <c r="AC62" s="30" t="s">
        <v>60</v>
      </c>
      <c r="AD62" s="29" t="s">
        <v>53</v>
      </c>
      <c r="AE62" s="44" t="s">
        <v>53</v>
      </c>
      <c r="AF62" s="29" t="s">
        <v>53</v>
      </c>
      <c r="AG62" s="36" t="s">
        <v>53</v>
      </c>
      <c r="AH62" s="32" t="str">
        <f>HYPERLINK("http://zakupki.gov.ru/epz/order/notice/ea44/view/common-info.html?regNumber=0372200168114000188", "ссылка")</f>
        <v>ссылка</v>
      </c>
    </row>
    <row r="63" spans="2:34" x14ac:dyDescent="0.15">
      <c r="B63" s="34">
        <v>1</v>
      </c>
      <c r="C63" s="43" t="s">
        <v>110</v>
      </c>
      <c r="D63" s="35" t="s">
        <v>53</v>
      </c>
      <c r="E63" s="37" t="s">
        <v>53</v>
      </c>
      <c r="F63" s="37" t="s">
        <v>54</v>
      </c>
      <c r="G63" s="37" t="s">
        <v>54</v>
      </c>
      <c r="H63" s="37" t="s">
        <v>53</v>
      </c>
      <c r="I63" s="37" t="s">
        <v>53</v>
      </c>
      <c r="J63" s="37" t="s">
        <v>53</v>
      </c>
      <c r="K63" s="37" t="s">
        <v>53</v>
      </c>
      <c r="L63" s="37" t="s">
        <v>53</v>
      </c>
      <c r="M63" s="37" t="s">
        <v>53</v>
      </c>
      <c r="N63" s="37" t="s">
        <v>53</v>
      </c>
      <c r="O63" s="37" t="s">
        <v>53</v>
      </c>
      <c r="P63" s="27" t="str">
        <f t="shared" ref="P63:P72" si="12">HYPERLINK("http://www.spark-marketing.ru/Participants/CardMain?id=561704", "ФКУ ""ЦХиСО ГУ МВД России по Саратовской области""")</f>
        <v>ФКУ "ЦХиСО ГУ МВД России по Саратовской области"</v>
      </c>
      <c r="Q63" s="28" t="s">
        <v>163</v>
      </c>
      <c r="R63" s="44">
        <v>1993955</v>
      </c>
      <c r="S63" s="29" t="s">
        <v>164</v>
      </c>
      <c r="T63" s="27" t="str">
        <f t="shared" ref="T63:T72" si="13">HYPERLINK("http://www.spark-marketing.ru/Purchases/CardMain?packId=212773103", "Поставка запасных частей автомобилей марки «ВАЗ».")</f>
        <v>Поставка запасных частей автомобилей марки «ВАЗ».</v>
      </c>
      <c r="U63" s="31">
        <v>41912.887372685203</v>
      </c>
      <c r="V63" s="27" t="s">
        <v>53</v>
      </c>
      <c r="W63" s="28" t="s">
        <v>53</v>
      </c>
      <c r="X63" s="29" t="s">
        <v>53</v>
      </c>
      <c r="Y63" s="44" t="s">
        <v>53</v>
      </c>
      <c r="Z63" s="45" t="s">
        <v>53</v>
      </c>
      <c r="AA63" s="30" t="s">
        <v>56</v>
      </c>
      <c r="AB63" s="46">
        <v>9</v>
      </c>
      <c r="AC63" s="30" t="s">
        <v>60</v>
      </c>
      <c r="AD63" s="29" t="s">
        <v>165</v>
      </c>
      <c r="AE63" s="44">
        <v>1973972.87</v>
      </c>
      <c r="AF63" s="29" t="s">
        <v>166</v>
      </c>
      <c r="AG63" s="36" t="s">
        <v>167</v>
      </c>
      <c r="AH63" s="32" t="str">
        <f t="shared" ref="AH63:AH72" si="14">HYPERLINK("http://zakupki.gov.ru/epz/order/notice/ea44/view/common-info.html?regNumber=0860100001314000104", "ссылка")</f>
        <v>ссылка</v>
      </c>
    </row>
    <row r="64" spans="2:34" outlineLevel="1" x14ac:dyDescent="0.15">
      <c r="B64" s="34">
        <v>2</v>
      </c>
      <c r="C64" s="43" t="s">
        <v>110</v>
      </c>
      <c r="D64" s="35" t="s">
        <v>53</v>
      </c>
      <c r="E64" s="37" t="s">
        <v>53</v>
      </c>
      <c r="F64" s="37" t="s">
        <v>54</v>
      </c>
      <c r="G64" s="37" t="s">
        <v>54</v>
      </c>
      <c r="H64" s="37" t="s">
        <v>53</v>
      </c>
      <c r="I64" s="37" t="s">
        <v>53</v>
      </c>
      <c r="J64" s="37" t="s">
        <v>53</v>
      </c>
      <c r="K64" s="37" t="s">
        <v>53</v>
      </c>
      <c r="L64" s="37" t="s">
        <v>53</v>
      </c>
      <c r="M64" s="37" t="s">
        <v>53</v>
      </c>
      <c r="N64" s="37" t="s">
        <v>53</v>
      </c>
      <c r="O64" s="37" t="s">
        <v>53</v>
      </c>
      <c r="P64" s="27" t="str">
        <f t="shared" si="12"/>
        <v>ФКУ "ЦХиСО ГУ МВД России по Саратовской области"</v>
      </c>
      <c r="Q64" s="28" t="s">
        <v>163</v>
      </c>
      <c r="R64" s="44">
        <v>1993955</v>
      </c>
      <c r="S64" s="29" t="s">
        <v>164</v>
      </c>
      <c r="T64" s="27" t="str">
        <f t="shared" si="13"/>
        <v>Поставка запасных частей автомобилей марки «ВАЗ».</v>
      </c>
      <c r="U64" s="31">
        <v>41912.887372685203</v>
      </c>
      <c r="V64" s="27" t="str">
        <f>HYPERLINK("http://www.spark-marketing.ru/Participants/CardMain?id=3311020", "ООО ""МИР АВТОЗАПЧАСТЕЙ""")</f>
        <v>ООО "МИР АВТОЗАПЧАСТЕЙ"</v>
      </c>
      <c r="W64" s="28" t="s">
        <v>167</v>
      </c>
      <c r="X64" s="29" t="s">
        <v>12</v>
      </c>
      <c r="Y64" s="44">
        <v>1133333.6599999999</v>
      </c>
      <c r="Z64" s="45">
        <v>0.43161522702367905</v>
      </c>
      <c r="AA64" s="30" t="s">
        <v>56</v>
      </c>
      <c r="AB64" s="46">
        <v>9</v>
      </c>
      <c r="AC64" s="30" t="s">
        <v>60</v>
      </c>
      <c r="AD64" s="29" t="s">
        <v>53</v>
      </c>
      <c r="AE64" s="44" t="s">
        <v>53</v>
      </c>
      <c r="AF64" s="29" t="s">
        <v>53</v>
      </c>
      <c r="AG64" s="36" t="s">
        <v>53</v>
      </c>
      <c r="AH64" s="32" t="str">
        <f t="shared" si="14"/>
        <v>ссылка</v>
      </c>
    </row>
    <row r="65" spans="2:34" outlineLevel="1" x14ac:dyDescent="0.15">
      <c r="B65" s="34">
        <v>2</v>
      </c>
      <c r="C65" s="43" t="s">
        <v>110</v>
      </c>
      <c r="D65" s="35" t="s">
        <v>53</v>
      </c>
      <c r="E65" s="37" t="s">
        <v>53</v>
      </c>
      <c r="F65" s="37" t="s">
        <v>54</v>
      </c>
      <c r="G65" s="37" t="s">
        <v>54</v>
      </c>
      <c r="H65" s="37" t="s">
        <v>53</v>
      </c>
      <c r="I65" s="37" t="s">
        <v>53</v>
      </c>
      <c r="J65" s="37" t="s">
        <v>53</v>
      </c>
      <c r="K65" s="37" t="s">
        <v>53</v>
      </c>
      <c r="L65" s="37" t="s">
        <v>53</v>
      </c>
      <c r="M65" s="37" t="s">
        <v>53</v>
      </c>
      <c r="N65" s="37" t="s">
        <v>53</v>
      </c>
      <c r="O65" s="37" t="s">
        <v>53</v>
      </c>
      <c r="P65" s="27" t="str">
        <f t="shared" si="12"/>
        <v>ФКУ "ЦХиСО ГУ МВД России по Саратовской области"</v>
      </c>
      <c r="Q65" s="28" t="s">
        <v>163</v>
      </c>
      <c r="R65" s="44">
        <v>1993955</v>
      </c>
      <c r="S65" s="29" t="s">
        <v>164</v>
      </c>
      <c r="T65" s="27" t="str">
        <f t="shared" si="13"/>
        <v>Поставка запасных частей автомобилей марки «ВАЗ».</v>
      </c>
      <c r="U65" s="31">
        <v>41912.887372685203</v>
      </c>
      <c r="V65" s="27" t="str">
        <f>HYPERLINK("http://www.spark-marketing.ru/Participants/CardMain?id=55789", "ООО ""Трэк-Авто""")</f>
        <v>ООО "Трэк-Авто"</v>
      </c>
      <c r="W65" s="28" t="s">
        <v>168</v>
      </c>
      <c r="X65" s="29" t="s">
        <v>53</v>
      </c>
      <c r="Y65" s="44">
        <v>1143543.44</v>
      </c>
      <c r="Z65" s="45">
        <v>0.42649486071651566</v>
      </c>
      <c r="AA65" s="30" t="s">
        <v>56</v>
      </c>
      <c r="AB65" s="46">
        <v>9</v>
      </c>
      <c r="AC65" s="30" t="s">
        <v>60</v>
      </c>
      <c r="AD65" s="29" t="s">
        <v>53</v>
      </c>
      <c r="AE65" s="44" t="s">
        <v>53</v>
      </c>
      <c r="AF65" s="29" t="s">
        <v>53</v>
      </c>
      <c r="AG65" s="36" t="s">
        <v>53</v>
      </c>
      <c r="AH65" s="32" t="str">
        <f t="shared" si="14"/>
        <v>ссылка</v>
      </c>
    </row>
    <row r="66" spans="2:34" x14ac:dyDescent="0.15">
      <c r="B66" s="34">
        <v>2</v>
      </c>
      <c r="C66" s="43" t="s">
        <v>110</v>
      </c>
      <c r="D66" s="35" t="s">
        <v>53</v>
      </c>
      <c r="E66" s="37" t="s">
        <v>53</v>
      </c>
      <c r="F66" s="37" t="s">
        <v>54</v>
      </c>
      <c r="G66" s="37" t="s">
        <v>54</v>
      </c>
      <c r="H66" s="37" t="s">
        <v>53</v>
      </c>
      <c r="I66" s="37" t="s">
        <v>53</v>
      </c>
      <c r="J66" s="37" t="s">
        <v>53</v>
      </c>
      <c r="K66" s="37" t="s">
        <v>53</v>
      </c>
      <c r="L66" s="37" t="s">
        <v>53</v>
      </c>
      <c r="M66" s="37" t="s">
        <v>53</v>
      </c>
      <c r="N66" s="37" t="s">
        <v>53</v>
      </c>
      <c r="O66" s="37" t="s">
        <v>53</v>
      </c>
      <c r="P66" s="27" t="str">
        <f t="shared" si="12"/>
        <v>ФКУ "ЦХиСО ГУ МВД России по Саратовской области"</v>
      </c>
      <c r="Q66" s="28" t="s">
        <v>163</v>
      </c>
      <c r="R66" s="44">
        <v>1993955</v>
      </c>
      <c r="S66" s="29" t="s">
        <v>164</v>
      </c>
      <c r="T66" s="27" t="str">
        <f t="shared" si="13"/>
        <v>Поставка запасных частей автомобилей марки «ВАЗ».</v>
      </c>
      <c r="U66" s="31">
        <v>41912.887372685203</v>
      </c>
      <c r="V66" s="27" t="str">
        <f>HYPERLINK("http://www.spark-marketing.ru/Participants/CardMain?id=99038", "ООО ""Автогарант""")</f>
        <v>ООО "Автогарант"</v>
      </c>
      <c r="W66" s="28" t="s">
        <v>169</v>
      </c>
      <c r="X66" s="29" t="s">
        <v>53</v>
      </c>
      <c r="Y66" s="44">
        <v>1163483</v>
      </c>
      <c r="Z66" s="45">
        <v>0.41649485570135736</v>
      </c>
      <c r="AA66" s="30" t="s">
        <v>56</v>
      </c>
      <c r="AB66" s="46">
        <v>9</v>
      </c>
      <c r="AC66" s="30" t="s">
        <v>60</v>
      </c>
      <c r="AD66" s="29" t="s">
        <v>53</v>
      </c>
      <c r="AE66" s="44" t="s">
        <v>53</v>
      </c>
      <c r="AF66" s="29" t="s">
        <v>53</v>
      </c>
      <c r="AG66" s="36" t="s">
        <v>53</v>
      </c>
      <c r="AH66" s="32" t="str">
        <f t="shared" si="14"/>
        <v>ссылка</v>
      </c>
    </row>
    <row r="67" spans="2:34" outlineLevel="1" x14ac:dyDescent="0.15">
      <c r="B67" s="34">
        <v>2</v>
      </c>
      <c r="C67" s="43" t="s">
        <v>110</v>
      </c>
      <c r="D67" s="35" t="s">
        <v>53</v>
      </c>
      <c r="E67" s="37" t="s">
        <v>53</v>
      </c>
      <c r="F67" s="37" t="s">
        <v>54</v>
      </c>
      <c r="G67" s="37" t="s">
        <v>54</v>
      </c>
      <c r="H67" s="37" t="s">
        <v>53</v>
      </c>
      <c r="I67" s="37" t="s">
        <v>53</v>
      </c>
      <c r="J67" s="37" t="s">
        <v>53</v>
      </c>
      <c r="K67" s="37" t="s">
        <v>53</v>
      </c>
      <c r="L67" s="37" t="s">
        <v>53</v>
      </c>
      <c r="M67" s="37" t="s">
        <v>53</v>
      </c>
      <c r="N67" s="37" t="s">
        <v>53</v>
      </c>
      <c r="O67" s="37" t="s">
        <v>53</v>
      </c>
      <c r="P67" s="27" t="str">
        <f t="shared" si="12"/>
        <v>ФКУ "ЦХиСО ГУ МВД России по Саратовской области"</v>
      </c>
      <c r="Q67" s="28" t="s">
        <v>163</v>
      </c>
      <c r="R67" s="44">
        <v>1993955</v>
      </c>
      <c r="S67" s="29" t="s">
        <v>164</v>
      </c>
      <c r="T67" s="27" t="str">
        <f t="shared" si="13"/>
        <v>Поставка запасных частей автомобилей марки «ВАЗ».</v>
      </c>
      <c r="U67" s="31">
        <v>41912.887372685203</v>
      </c>
      <c r="V67" s="27" t="str">
        <f>HYPERLINK("http://www.spark-marketing.ru/Participants/CardMain?id=455040", "ООО ""Тополек""")</f>
        <v>ООО "Тополек"</v>
      </c>
      <c r="W67" s="28" t="s">
        <v>170</v>
      </c>
      <c r="X67" s="29" t="s">
        <v>53</v>
      </c>
      <c r="Y67" s="44">
        <v>1243860.54</v>
      </c>
      <c r="Z67" s="45">
        <v>0.3761842468862136</v>
      </c>
      <c r="AA67" s="30" t="s">
        <v>56</v>
      </c>
      <c r="AB67" s="46">
        <v>9</v>
      </c>
      <c r="AC67" s="30" t="s">
        <v>60</v>
      </c>
      <c r="AD67" s="29" t="s">
        <v>53</v>
      </c>
      <c r="AE67" s="44" t="s">
        <v>53</v>
      </c>
      <c r="AF67" s="29" t="s">
        <v>53</v>
      </c>
      <c r="AG67" s="36" t="s">
        <v>53</v>
      </c>
      <c r="AH67" s="32" t="str">
        <f t="shared" si="14"/>
        <v>ссылка</v>
      </c>
    </row>
    <row r="68" spans="2:34" outlineLevel="1" x14ac:dyDescent="0.15">
      <c r="B68" s="34">
        <v>2</v>
      </c>
      <c r="C68" s="43" t="s">
        <v>110</v>
      </c>
      <c r="D68" s="35" t="s">
        <v>53</v>
      </c>
      <c r="E68" s="37" t="s">
        <v>53</v>
      </c>
      <c r="F68" s="37" t="s">
        <v>54</v>
      </c>
      <c r="G68" s="37" t="s">
        <v>54</v>
      </c>
      <c r="H68" s="37" t="s">
        <v>53</v>
      </c>
      <c r="I68" s="37" t="s">
        <v>53</v>
      </c>
      <c r="J68" s="37" t="s">
        <v>53</v>
      </c>
      <c r="K68" s="37" t="s">
        <v>53</v>
      </c>
      <c r="L68" s="37" t="s">
        <v>53</v>
      </c>
      <c r="M68" s="37" t="s">
        <v>53</v>
      </c>
      <c r="N68" s="37" t="s">
        <v>53</v>
      </c>
      <c r="O68" s="37" t="s">
        <v>53</v>
      </c>
      <c r="P68" s="27" t="str">
        <f t="shared" si="12"/>
        <v>ФКУ "ЦХиСО ГУ МВД России по Саратовской области"</v>
      </c>
      <c r="Q68" s="28" t="s">
        <v>163</v>
      </c>
      <c r="R68" s="44">
        <v>1993955</v>
      </c>
      <c r="S68" s="29" t="s">
        <v>164</v>
      </c>
      <c r="T68" s="27" t="str">
        <f t="shared" si="13"/>
        <v>Поставка запасных частей автомобилей марки «ВАЗ».</v>
      </c>
      <c r="U68" s="31">
        <v>41912.887372685203</v>
      </c>
      <c r="V68" s="27" t="str">
        <f>HYPERLINK("http://www.spark-marketing.ru/Participants/CardMain?id=405897", "ООО ""Лада-Авто Плюс""")</f>
        <v>ООО "Лада-Авто Плюс"</v>
      </c>
      <c r="W68" s="28" t="s">
        <v>171</v>
      </c>
      <c r="X68" s="29" t="s">
        <v>53</v>
      </c>
      <c r="Y68" s="44">
        <v>1440719.92</v>
      </c>
      <c r="Z68" s="45">
        <v>0.27745615121705353</v>
      </c>
      <c r="AA68" s="30" t="s">
        <v>56</v>
      </c>
      <c r="AB68" s="46">
        <v>9</v>
      </c>
      <c r="AC68" s="30" t="s">
        <v>60</v>
      </c>
      <c r="AD68" s="29" t="s">
        <v>53</v>
      </c>
      <c r="AE68" s="44" t="s">
        <v>53</v>
      </c>
      <c r="AF68" s="29" t="s">
        <v>53</v>
      </c>
      <c r="AG68" s="36" t="s">
        <v>53</v>
      </c>
      <c r="AH68" s="32" t="str">
        <f t="shared" si="14"/>
        <v>ссылка</v>
      </c>
    </row>
    <row r="69" spans="2:34" outlineLevel="1" x14ac:dyDescent="0.15">
      <c r="B69" s="34">
        <v>2</v>
      </c>
      <c r="C69" s="43" t="s">
        <v>110</v>
      </c>
      <c r="D69" s="35" t="s">
        <v>53</v>
      </c>
      <c r="E69" s="37" t="s">
        <v>53</v>
      </c>
      <c r="F69" s="37" t="s">
        <v>54</v>
      </c>
      <c r="G69" s="37" t="s">
        <v>54</v>
      </c>
      <c r="H69" s="37" t="s">
        <v>53</v>
      </c>
      <c r="I69" s="37" t="s">
        <v>53</v>
      </c>
      <c r="J69" s="37" t="s">
        <v>53</v>
      </c>
      <c r="K69" s="37" t="s">
        <v>53</v>
      </c>
      <c r="L69" s="37" t="s">
        <v>53</v>
      </c>
      <c r="M69" s="37" t="s">
        <v>53</v>
      </c>
      <c r="N69" s="37" t="s">
        <v>53</v>
      </c>
      <c r="O69" s="37" t="s">
        <v>53</v>
      </c>
      <c r="P69" s="27" t="str">
        <f t="shared" si="12"/>
        <v>ФКУ "ЦХиСО ГУ МВД России по Саратовской области"</v>
      </c>
      <c r="Q69" s="28" t="s">
        <v>163</v>
      </c>
      <c r="R69" s="44">
        <v>1993955</v>
      </c>
      <c r="S69" s="29" t="s">
        <v>164</v>
      </c>
      <c r="T69" s="27" t="str">
        <f t="shared" si="13"/>
        <v>Поставка запасных частей автомобилей марки «ВАЗ».</v>
      </c>
      <c r="U69" s="31">
        <v>41912.887372685203</v>
      </c>
      <c r="V69" s="27" t="str">
        <f>HYPERLINK("http://www.spark-marketing.ru/Participants/CardMain?id=562127", "ООО ""Авто-Навигатор""")</f>
        <v>ООО "Авто-Навигатор"</v>
      </c>
      <c r="W69" s="28" t="s">
        <v>172</v>
      </c>
      <c r="X69" s="29" t="s">
        <v>53</v>
      </c>
      <c r="Y69" s="44">
        <v>1545255.1</v>
      </c>
      <c r="Z69" s="45">
        <v>0.22503010348779184</v>
      </c>
      <c r="AA69" s="30" t="s">
        <v>56</v>
      </c>
      <c r="AB69" s="46">
        <v>9</v>
      </c>
      <c r="AC69" s="30" t="s">
        <v>60</v>
      </c>
      <c r="AD69" s="29" t="s">
        <v>53</v>
      </c>
      <c r="AE69" s="44" t="s">
        <v>53</v>
      </c>
      <c r="AF69" s="29" t="s">
        <v>53</v>
      </c>
      <c r="AG69" s="36" t="s">
        <v>53</v>
      </c>
      <c r="AH69" s="32" t="str">
        <f t="shared" si="14"/>
        <v>ссылка</v>
      </c>
    </row>
    <row r="70" spans="2:34" outlineLevel="1" x14ac:dyDescent="0.15">
      <c r="B70" s="34">
        <v>2</v>
      </c>
      <c r="C70" s="43" t="s">
        <v>110</v>
      </c>
      <c r="D70" s="35" t="s">
        <v>53</v>
      </c>
      <c r="E70" s="37" t="s">
        <v>53</v>
      </c>
      <c r="F70" s="37" t="s">
        <v>54</v>
      </c>
      <c r="G70" s="37" t="s">
        <v>54</v>
      </c>
      <c r="H70" s="37" t="s">
        <v>53</v>
      </c>
      <c r="I70" s="37" t="s">
        <v>53</v>
      </c>
      <c r="J70" s="37" t="s">
        <v>53</v>
      </c>
      <c r="K70" s="37" t="s">
        <v>53</v>
      </c>
      <c r="L70" s="37" t="s">
        <v>53</v>
      </c>
      <c r="M70" s="37" t="s">
        <v>53</v>
      </c>
      <c r="N70" s="37" t="s">
        <v>53</v>
      </c>
      <c r="O70" s="37" t="s">
        <v>53</v>
      </c>
      <c r="P70" s="27" t="str">
        <f t="shared" si="12"/>
        <v>ФКУ "ЦХиСО ГУ МВД России по Саратовской области"</v>
      </c>
      <c r="Q70" s="28" t="s">
        <v>163</v>
      </c>
      <c r="R70" s="44">
        <v>1993955</v>
      </c>
      <c r="S70" s="29" t="s">
        <v>164</v>
      </c>
      <c r="T70" s="27" t="str">
        <f t="shared" si="13"/>
        <v>Поставка запасных частей автомобилей марки «ВАЗ».</v>
      </c>
      <c r="U70" s="31">
        <v>41912.887372685203</v>
      </c>
      <c r="V70" s="27" t="str">
        <f>HYPERLINK("http://www.spark-marketing.ru/Participants/CardMain?id=1173601", "ООО ""Карпартс""")</f>
        <v>ООО "Карпартс"</v>
      </c>
      <c r="W70" s="28" t="s">
        <v>173</v>
      </c>
      <c r="X70" s="29" t="s">
        <v>53</v>
      </c>
      <c r="Y70" s="44">
        <v>1550000</v>
      </c>
      <c r="Z70" s="45">
        <v>0.2226504610184282</v>
      </c>
      <c r="AA70" s="30" t="s">
        <v>56</v>
      </c>
      <c r="AB70" s="46">
        <v>9</v>
      </c>
      <c r="AC70" s="30" t="s">
        <v>60</v>
      </c>
      <c r="AD70" s="29" t="s">
        <v>53</v>
      </c>
      <c r="AE70" s="44" t="s">
        <v>53</v>
      </c>
      <c r="AF70" s="29" t="s">
        <v>53</v>
      </c>
      <c r="AG70" s="36" t="s">
        <v>53</v>
      </c>
      <c r="AH70" s="32" t="str">
        <f t="shared" si="14"/>
        <v>ссылка</v>
      </c>
    </row>
    <row r="71" spans="2:34" outlineLevel="1" x14ac:dyDescent="0.15">
      <c r="B71" s="34">
        <v>2</v>
      </c>
      <c r="C71" s="43" t="s">
        <v>110</v>
      </c>
      <c r="D71" s="35" t="s">
        <v>53</v>
      </c>
      <c r="E71" s="37" t="s">
        <v>53</v>
      </c>
      <c r="F71" s="37" t="s">
        <v>54</v>
      </c>
      <c r="G71" s="37" t="s">
        <v>54</v>
      </c>
      <c r="H71" s="37" t="s">
        <v>53</v>
      </c>
      <c r="I71" s="37" t="s">
        <v>53</v>
      </c>
      <c r="J71" s="37" t="s">
        <v>53</v>
      </c>
      <c r="K71" s="37" t="s">
        <v>53</v>
      </c>
      <c r="L71" s="37" t="s">
        <v>53</v>
      </c>
      <c r="M71" s="37" t="s">
        <v>53</v>
      </c>
      <c r="N71" s="37" t="s">
        <v>53</v>
      </c>
      <c r="O71" s="37" t="s">
        <v>53</v>
      </c>
      <c r="P71" s="27" t="str">
        <f t="shared" si="12"/>
        <v>ФКУ "ЦХиСО ГУ МВД России по Саратовской области"</v>
      </c>
      <c r="Q71" s="28" t="s">
        <v>163</v>
      </c>
      <c r="R71" s="44">
        <v>1993955</v>
      </c>
      <c r="S71" s="29" t="s">
        <v>164</v>
      </c>
      <c r="T71" s="27" t="str">
        <f t="shared" si="13"/>
        <v>Поставка запасных частей автомобилей марки «ВАЗ».</v>
      </c>
      <c r="U71" s="31">
        <v>41912.887372685203</v>
      </c>
      <c r="V71" s="27" t="str">
        <f>HYPERLINK("http://www.spark-marketing.ru/Participants/CardMain?id=35775", "ООО ""Техмаш""")</f>
        <v>ООО "Техмаш"</v>
      </c>
      <c r="W71" s="28" t="s">
        <v>174</v>
      </c>
      <c r="X71" s="29" t="s">
        <v>53</v>
      </c>
      <c r="Y71" s="44">
        <v>1844408.35</v>
      </c>
      <c r="Z71" s="45">
        <v>7.5000012537895788E-2</v>
      </c>
      <c r="AA71" s="30" t="s">
        <v>56</v>
      </c>
      <c r="AB71" s="46">
        <v>9</v>
      </c>
      <c r="AC71" s="30" t="s">
        <v>60</v>
      </c>
      <c r="AD71" s="29" t="s">
        <v>53</v>
      </c>
      <c r="AE71" s="44" t="s">
        <v>53</v>
      </c>
      <c r="AF71" s="29" t="s">
        <v>53</v>
      </c>
      <c r="AG71" s="36" t="s">
        <v>53</v>
      </c>
      <c r="AH71" s="32" t="str">
        <f t="shared" si="14"/>
        <v>ссылка</v>
      </c>
    </row>
    <row r="72" spans="2:34" outlineLevel="1" x14ac:dyDescent="0.15">
      <c r="B72" s="34">
        <v>2</v>
      </c>
      <c r="C72" s="43" t="s">
        <v>110</v>
      </c>
      <c r="D72" s="35" t="s">
        <v>53</v>
      </c>
      <c r="E72" s="37" t="s">
        <v>53</v>
      </c>
      <c r="F72" s="37" t="s">
        <v>54</v>
      </c>
      <c r="G72" s="37" t="s">
        <v>54</v>
      </c>
      <c r="H72" s="37" t="s">
        <v>53</v>
      </c>
      <c r="I72" s="37" t="s">
        <v>53</v>
      </c>
      <c r="J72" s="37" t="s">
        <v>53</v>
      </c>
      <c r="K72" s="37" t="s">
        <v>53</v>
      </c>
      <c r="L72" s="37" t="s">
        <v>53</v>
      </c>
      <c r="M72" s="37" t="s">
        <v>53</v>
      </c>
      <c r="N72" s="37" t="s">
        <v>53</v>
      </c>
      <c r="O72" s="37" t="s">
        <v>53</v>
      </c>
      <c r="P72" s="27" t="str">
        <f t="shared" si="12"/>
        <v>ФКУ "ЦХиСО ГУ МВД России по Саратовской области"</v>
      </c>
      <c r="Q72" s="28" t="s">
        <v>163</v>
      </c>
      <c r="R72" s="44">
        <v>1993955</v>
      </c>
      <c r="S72" s="29" t="s">
        <v>164</v>
      </c>
      <c r="T72" s="27" t="str">
        <f t="shared" si="13"/>
        <v>Поставка запасных частей автомобилей марки «ВАЗ».</v>
      </c>
      <c r="U72" s="31">
        <v>41912.887372685203</v>
      </c>
      <c r="V72" s="27" t="str">
        <f>HYPERLINK("http://www.spark-marketing.ru/Participants/CardMain?id=564015", "ООО ""Прогресс""")</f>
        <v>ООО "Прогресс"</v>
      </c>
      <c r="W72" s="28" t="s">
        <v>175</v>
      </c>
      <c r="X72" s="29" t="s">
        <v>53</v>
      </c>
      <c r="Y72" s="44">
        <v>1954075.88</v>
      </c>
      <c r="Z72" s="45">
        <v>2.0000010030316633E-2</v>
      </c>
      <c r="AA72" s="30" t="s">
        <v>56</v>
      </c>
      <c r="AB72" s="46">
        <v>9</v>
      </c>
      <c r="AC72" s="30" t="s">
        <v>60</v>
      </c>
      <c r="AD72" s="29" t="s">
        <v>53</v>
      </c>
      <c r="AE72" s="44" t="s">
        <v>53</v>
      </c>
      <c r="AF72" s="29" t="s">
        <v>53</v>
      </c>
      <c r="AG72" s="36" t="s">
        <v>53</v>
      </c>
      <c r="AH72" s="32" t="str">
        <f t="shared" si="14"/>
        <v>ссылка</v>
      </c>
    </row>
    <row r="73" spans="2:34" x14ac:dyDescent="0.15">
      <c r="B73" s="34">
        <v>1</v>
      </c>
      <c r="C73" s="43" t="s">
        <v>62</v>
      </c>
      <c r="D73" s="35" t="s">
        <v>53</v>
      </c>
      <c r="E73" s="37" t="s">
        <v>53</v>
      </c>
      <c r="F73" s="37" t="s">
        <v>54</v>
      </c>
      <c r="G73" s="37" t="s">
        <v>54</v>
      </c>
      <c r="H73" s="37" t="s">
        <v>53</v>
      </c>
      <c r="I73" s="37" t="s">
        <v>53</v>
      </c>
      <c r="J73" s="37" t="s">
        <v>53</v>
      </c>
      <c r="K73" s="37" t="s">
        <v>53</v>
      </c>
      <c r="L73" s="37" t="s">
        <v>53</v>
      </c>
      <c r="M73" s="37" t="s">
        <v>53</v>
      </c>
      <c r="N73" s="37" t="s">
        <v>54</v>
      </c>
      <c r="O73" s="37" t="s">
        <v>53</v>
      </c>
      <c r="P73" s="27" t="str">
        <f t="shared" ref="P73:P79" si="15">HYPERLINK("http://www.spark-marketing.ru/Participants/CardMain?id=308275", "ФКУ ""ГВКГ ВВ МВД России""")</f>
        <v>ФКУ "ГВКГ ВВ МВД России"</v>
      </c>
      <c r="Q73" s="28" t="s">
        <v>176</v>
      </c>
      <c r="R73" s="44">
        <v>117774</v>
      </c>
      <c r="S73" s="29" t="s">
        <v>177</v>
      </c>
      <c r="T73" s="27" t="str">
        <f t="shared" ref="T73:T79" si="16">HYPERLINK("http://www.spark-marketing.ru/Purchases/CardMain?packId=212977073", "№ 283 – 2014 ЭА (ИКЗ № 191 ЭА) поставка наволочек хлопчатобумажных")</f>
        <v>№ 283 – 2014 ЭА (ИКЗ № 191 ЭА) поставка наволочек хлопчатобумажных</v>
      </c>
      <c r="U73" s="31">
        <v>41912.906365740702</v>
      </c>
      <c r="V73" s="27" t="s">
        <v>53</v>
      </c>
      <c r="W73" s="28" t="s">
        <v>53</v>
      </c>
      <c r="X73" s="29" t="s">
        <v>53</v>
      </c>
      <c r="Y73" s="44" t="s">
        <v>53</v>
      </c>
      <c r="Z73" s="45" t="s">
        <v>53</v>
      </c>
      <c r="AA73" s="30" t="s">
        <v>56</v>
      </c>
      <c r="AB73" s="46">
        <v>6</v>
      </c>
      <c r="AC73" s="30" t="s">
        <v>60</v>
      </c>
      <c r="AD73" s="29" t="s">
        <v>178</v>
      </c>
      <c r="AE73" s="44">
        <v>83519.48</v>
      </c>
      <c r="AF73" s="29" t="s">
        <v>179</v>
      </c>
      <c r="AG73" s="36" t="s">
        <v>180</v>
      </c>
      <c r="AH73" s="32" t="str">
        <f t="shared" ref="AH73:AH79" si="17">HYPERLINK("http://zakupki.gov.ru/epz/order/notice/ea44/view/common-info.html?regNumber=0348100046614000341", "ссылка")</f>
        <v>ссылка</v>
      </c>
    </row>
    <row r="74" spans="2:34" outlineLevel="1" x14ac:dyDescent="0.15">
      <c r="B74" s="34">
        <v>2</v>
      </c>
      <c r="C74" s="43" t="s">
        <v>62</v>
      </c>
      <c r="D74" s="35" t="s">
        <v>53</v>
      </c>
      <c r="E74" s="37" t="s">
        <v>53</v>
      </c>
      <c r="F74" s="37" t="s">
        <v>54</v>
      </c>
      <c r="G74" s="37" t="s">
        <v>54</v>
      </c>
      <c r="H74" s="37" t="s">
        <v>53</v>
      </c>
      <c r="I74" s="37" t="s">
        <v>53</v>
      </c>
      <c r="J74" s="37" t="s">
        <v>53</v>
      </c>
      <c r="K74" s="37" t="s">
        <v>53</v>
      </c>
      <c r="L74" s="37" t="s">
        <v>53</v>
      </c>
      <c r="M74" s="37" t="s">
        <v>53</v>
      </c>
      <c r="N74" s="37" t="s">
        <v>54</v>
      </c>
      <c r="O74" s="37" t="s">
        <v>53</v>
      </c>
      <c r="P74" s="27" t="str">
        <f t="shared" si="15"/>
        <v>ФКУ "ГВКГ ВВ МВД России"</v>
      </c>
      <c r="Q74" s="28" t="s">
        <v>176</v>
      </c>
      <c r="R74" s="44">
        <v>117774</v>
      </c>
      <c r="S74" s="29" t="s">
        <v>177</v>
      </c>
      <c r="T74" s="27" t="str">
        <f t="shared" si="16"/>
        <v>№ 283 – 2014 ЭА (ИКЗ № 191 ЭА) поставка наволочек хлопчатобумажных</v>
      </c>
      <c r="U74" s="31">
        <v>41912.906365740702</v>
      </c>
      <c r="V74" s="27" t="str">
        <f>HYPERLINK("http://www.spark-marketing.ru/Participants/CardMain?id=1642", "ООО ""ТК""")</f>
        <v>ООО "ТК"</v>
      </c>
      <c r="W74" s="28" t="s">
        <v>180</v>
      </c>
      <c r="X74" s="29" t="s">
        <v>12</v>
      </c>
      <c r="Y74" s="44">
        <v>75946.13</v>
      </c>
      <c r="Z74" s="45">
        <v>0.35515368417477544</v>
      </c>
      <c r="AA74" s="30" t="s">
        <v>56</v>
      </c>
      <c r="AB74" s="46">
        <v>6</v>
      </c>
      <c r="AC74" s="30" t="s">
        <v>60</v>
      </c>
      <c r="AD74" s="29" t="s">
        <v>53</v>
      </c>
      <c r="AE74" s="44" t="s">
        <v>53</v>
      </c>
      <c r="AF74" s="29" t="s">
        <v>53</v>
      </c>
      <c r="AG74" s="36" t="s">
        <v>53</v>
      </c>
      <c r="AH74" s="32" t="str">
        <f t="shared" si="17"/>
        <v>ссылка</v>
      </c>
    </row>
    <row r="75" spans="2:34" outlineLevel="1" x14ac:dyDescent="0.15">
      <c r="B75" s="34">
        <v>2</v>
      </c>
      <c r="C75" s="43" t="s">
        <v>62</v>
      </c>
      <c r="D75" s="35" t="s">
        <v>53</v>
      </c>
      <c r="E75" s="37" t="s">
        <v>53</v>
      </c>
      <c r="F75" s="37" t="s">
        <v>54</v>
      </c>
      <c r="G75" s="37" t="s">
        <v>54</v>
      </c>
      <c r="H75" s="37" t="s">
        <v>53</v>
      </c>
      <c r="I75" s="37" t="s">
        <v>53</v>
      </c>
      <c r="J75" s="37" t="s">
        <v>53</v>
      </c>
      <c r="K75" s="37" t="s">
        <v>53</v>
      </c>
      <c r="L75" s="37" t="s">
        <v>53</v>
      </c>
      <c r="M75" s="37" t="s">
        <v>53</v>
      </c>
      <c r="N75" s="37" t="s">
        <v>54</v>
      </c>
      <c r="O75" s="37" t="s">
        <v>53</v>
      </c>
      <c r="P75" s="27" t="str">
        <f t="shared" si="15"/>
        <v>ФКУ "ГВКГ ВВ МВД России"</v>
      </c>
      <c r="Q75" s="28" t="s">
        <v>176</v>
      </c>
      <c r="R75" s="44">
        <v>117774</v>
      </c>
      <c r="S75" s="29" t="s">
        <v>177</v>
      </c>
      <c r="T75" s="27" t="str">
        <f t="shared" si="16"/>
        <v>№ 283 – 2014 ЭА (ИКЗ № 191 ЭА) поставка наволочек хлопчатобумажных</v>
      </c>
      <c r="U75" s="31">
        <v>41912.906365740702</v>
      </c>
      <c r="V75" s="27" t="str">
        <f>HYPERLINK("http://www.spark-marketing.ru/Participants/CardMain?id=1959", "ООО ""ВЕКТОР ПЛЮС ТЕКСТИЛЬ""")</f>
        <v>ООО "ВЕКТОР ПЛЮС ТЕКСТИЛЬ"</v>
      </c>
      <c r="W75" s="28" t="s">
        <v>181</v>
      </c>
      <c r="X75" s="29" t="s">
        <v>53</v>
      </c>
      <c r="Y75" s="44">
        <v>76535</v>
      </c>
      <c r="Z75" s="45">
        <v>0.35015368417477544</v>
      </c>
      <c r="AA75" s="30" t="s">
        <v>56</v>
      </c>
      <c r="AB75" s="46">
        <v>6</v>
      </c>
      <c r="AC75" s="30" t="s">
        <v>60</v>
      </c>
      <c r="AD75" s="29" t="s">
        <v>53</v>
      </c>
      <c r="AE75" s="44" t="s">
        <v>53</v>
      </c>
      <c r="AF75" s="29" t="s">
        <v>53</v>
      </c>
      <c r="AG75" s="36" t="s">
        <v>53</v>
      </c>
      <c r="AH75" s="32" t="str">
        <f t="shared" si="17"/>
        <v>ссылка</v>
      </c>
    </row>
    <row r="76" spans="2:34" x14ac:dyDescent="0.15">
      <c r="B76" s="34">
        <v>2</v>
      </c>
      <c r="C76" s="43" t="s">
        <v>62</v>
      </c>
      <c r="D76" s="35" t="s">
        <v>53</v>
      </c>
      <c r="E76" s="37" t="s">
        <v>53</v>
      </c>
      <c r="F76" s="37" t="s">
        <v>54</v>
      </c>
      <c r="G76" s="37" t="s">
        <v>54</v>
      </c>
      <c r="H76" s="37" t="s">
        <v>53</v>
      </c>
      <c r="I76" s="37" t="s">
        <v>53</v>
      </c>
      <c r="J76" s="37" t="s">
        <v>53</v>
      </c>
      <c r="K76" s="37" t="s">
        <v>53</v>
      </c>
      <c r="L76" s="37" t="s">
        <v>53</v>
      </c>
      <c r="M76" s="37" t="s">
        <v>53</v>
      </c>
      <c r="N76" s="37" t="s">
        <v>54</v>
      </c>
      <c r="O76" s="37" t="s">
        <v>53</v>
      </c>
      <c r="P76" s="27" t="str">
        <f t="shared" si="15"/>
        <v>ФКУ "ГВКГ ВВ МВД России"</v>
      </c>
      <c r="Q76" s="28" t="s">
        <v>176</v>
      </c>
      <c r="R76" s="44">
        <v>117774</v>
      </c>
      <c r="S76" s="29" t="s">
        <v>177</v>
      </c>
      <c r="T76" s="27" t="str">
        <f t="shared" si="16"/>
        <v>№ 283 – 2014 ЭА (ИКЗ № 191 ЭА) поставка наволочек хлопчатобумажных</v>
      </c>
      <c r="U76" s="31">
        <v>41912.906365740702</v>
      </c>
      <c r="V76" s="27" t="str">
        <f>HYPERLINK("http://www.spark-marketing.ru/Participants/CardMain?id=1369464", "ООО ""АЛЕСТА""")</f>
        <v>ООО "АЛЕСТА"</v>
      </c>
      <c r="W76" s="28" t="s">
        <v>182</v>
      </c>
      <c r="X76" s="29" t="s">
        <v>53</v>
      </c>
      <c r="Y76" s="44">
        <v>79480</v>
      </c>
      <c r="Z76" s="45">
        <v>0.32514816512982492</v>
      </c>
      <c r="AA76" s="30" t="s">
        <v>56</v>
      </c>
      <c r="AB76" s="46">
        <v>6</v>
      </c>
      <c r="AC76" s="30" t="s">
        <v>60</v>
      </c>
      <c r="AD76" s="29" t="s">
        <v>53</v>
      </c>
      <c r="AE76" s="44" t="s">
        <v>53</v>
      </c>
      <c r="AF76" s="29" t="s">
        <v>53</v>
      </c>
      <c r="AG76" s="36" t="s">
        <v>53</v>
      </c>
      <c r="AH76" s="32" t="str">
        <f t="shared" si="17"/>
        <v>ссылка</v>
      </c>
    </row>
    <row r="77" spans="2:34" outlineLevel="1" x14ac:dyDescent="0.15">
      <c r="B77" s="34">
        <v>2</v>
      </c>
      <c r="C77" s="43" t="s">
        <v>62</v>
      </c>
      <c r="D77" s="35" t="s">
        <v>53</v>
      </c>
      <c r="E77" s="37" t="s">
        <v>53</v>
      </c>
      <c r="F77" s="37" t="s">
        <v>54</v>
      </c>
      <c r="G77" s="37" t="s">
        <v>54</v>
      </c>
      <c r="H77" s="37" t="s">
        <v>53</v>
      </c>
      <c r="I77" s="37" t="s">
        <v>53</v>
      </c>
      <c r="J77" s="37" t="s">
        <v>53</v>
      </c>
      <c r="K77" s="37" t="s">
        <v>53</v>
      </c>
      <c r="L77" s="37" t="s">
        <v>53</v>
      </c>
      <c r="M77" s="37" t="s">
        <v>53</v>
      </c>
      <c r="N77" s="37" t="s">
        <v>54</v>
      </c>
      <c r="O77" s="37" t="s">
        <v>53</v>
      </c>
      <c r="P77" s="27" t="str">
        <f t="shared" si="15"/>
        <v>ФКУ "ГВКГ ВВ МВД России"</v>
      </c>
      <c r="Q77" s="28" t="s">
        <v>176</v>
      </c>
      <c r="R77" s="44">
        <v>117774</v>
      </c>
      <c r="S77" s="29" t="s">
        <v>177</v>
      </c>
      <c r="T77" s="27" t="str">
        <f t="shared" si="16"/>
        <v>№ 283 – 2014 ЭА (ИКЗ № 191 ЭА) поставка наволочек хлопчатобумажных</v>
      </c>
      <c r="U77" s="31">
        <v>41912.906365740702</v>
      </c>
      <c r="V77" s="27" t="str">
        <f>HYPERLINK("http://www.spark-marketing.ru/Participants/CardMain?id=3291973", "ООО ""ДИАМАНТ""")</f>
        <v>ООО "ДИАМАНТ"</v>
      </c>
      <c r="W77" s="28" t="s">
        <v>183</v>
      </c>
      <c r="X77" s="29" t="s">
        <v>53</v>
      </c>
      <c r="Y77" s="44">
        <v>88051.13</v>
      </c>
      <c r="Z77" s="45">
        <v>0.25237208551972423</v>
      </c>
      <c r="AA77" s="30" t="s">
        <v>56</v>
      </c>
      <c r="AB77" s="46">
        <v>6</v>
      </c>
      <c r="AC77" s="30" t="s">
        <v>60</v>
      </c>
      <c r="AD77" s="29" t="s">
        <v>53</v>
      </c>
      <c r="AE77" s="44" t="s">
        <v>53</v>
      </c>
      <c r="AF77" s="29" t="s">
        <v>53</v>
      </c>
      <c r="AG77" s="36" t="s">
        <v>53</v>
      </c>
      <c r="AH77" s="32" t="str">
        <f t="shared" si="17"/>
        <v>ссылка</v>
      </c>
    </row>
    <row r="78" spans="2:34" outlineLevel="1" x14ac:dyDescent="0.15">
      <c r="B78" s="34">
        <v>2</v>
      </c>
      <c r="C78" s="43" t="s">
        <v>62</v>
      </c>
      <c r="D78" s="35" t="s">
        <v>53</v>
      </c>
      <c r="E78" s="37" t="s">
        <v>53</v>
      </c>
      <c r="F78" s="37" t="s">
        <v>54</v>
      </c>
      <c r="G78" s="37" t="s">
        <v>54</v>
      </c>
      <c r="H78" s="37" t="s">
        <v>53</v>
      </c>
      <c r="I78" s="37" t="s">
        <v>53</v>
      </c>
      <c r="J78" s="37" t="s">
        <v>53</v>
      </c>
      <c r="K78" s="37" t="s">
        <v>53</v>
      </c>
      <c r="L78" s="37" t="s">
        <v>53</v>
      </c>
      <c r="M78" s="37" t="s">
        <v>53</v>
      </c>
      <c r="N78" s="37" t="s">
        <v>54</v>
      </c>
      <c r="O78" s="37" t="s">
        <v>53</v>
      </c>
      <c r="P78" s="27" t="str">
        <f t="shared" si="15"/>
        <v>ФКУ "ГВКГ ВВ МВД России"</v>
      </c>
      <c r="Q78" s="28" t="s">
        <v>176</v>
      </c>
      <c r="R78" s="44">
        <v>117774</v>
      </c>
      <c r="S78" s="29" t="s">
        <v>177</v>
      </c>
      <c r="T78" s="27" t="str">
        <f t="shared" si="16"/>
        <v>№ 283 – 2014 ЭА (ИКЗ № 191 ЭА) поставка наволочек хлопчатобумажных</v>
      </c>
      <c r="U78" s="31">
        <v>41912.906365740702</v>
      </c>
      <c r="V78" s="27" t="str">
        <f>HYPERLINK("http://www.spark-marketing.ru/Participants/CardMain?id=3370927", "ООО ""Быт-сервис Л""")</f>
        <v>ООО "Быт-сервис Л"</v>
      </c>
      <c r="W78" s="28" t="s">
        <v>184</v>
      </c>
      <c r="X78" s="29" t="s">
        <v>53</v>
      </c>
      <c r="Y78" s="44">
        <v>95017.86</v>
      </c>
      <c r="Z78" s="45">
        <v>0.19321870701513066</v>
      </c>
      <c r="AA78" s="30" t="s">
        <v>56</v>
      </c>
      <c r="AB78" s="46">
        <v>6</v>
      </c>
      <c r="AC78" s="30" t="s">
        <v>60</v>
      </c>
      <c r="AD78" s="29" t="s">
        <v>53</v>
      </c>
      <c r="AE78" s="44" t="s">
        <v>53</v>
      </c>
      <c r="AF78" s="29" t="s">
        <v>53</v>
      </c>
      <c r="AG78" s="36" t="s">
        <v>53</v>
      </c>
      <c r="AH78" s="32" t="str">
        <f t="shared" si="17"/>
        <v>ссылка</v>
      </c>
    </row>
    <row r="79" spans="2:34" outlineLevel="1" x14ac:dyDescent="0.15">
      <c r="B79" s="34">
        <v>2</v>
      </c>
      <c r="C79" s="43" t="s">
        <v>62</v>
      </c>
      <c r="D79" s="35" t="s">
        <v>53</v>
      </c>
      <c r="E79" s="37" t="s">
        <v>53</v>
      </c>
      <c r="F79" s="37" t="s">
        <v>54</v>
      </c>
      <c r="G79" s="37" t="s">
        <v>54</v>
      </c>
      <c r="H79" s="37" t="s">
        <v>53</v>
      </c>
      <c r="I79" s="37" t="s">
        <v>53</v>
      </c>
      <c r="J79" s="37" t="s">
        <v>53</v>
      </c>
      <c r="K79" s="37" t="s">
        <v>53</v>
      </c>
      <c r="L79" s="37" t="s">
        <v>53</v>
      </c>
      <c r="M79" s="37" t="s">
        <v>53</v>
      </c>
      <c r="N79" s="37" t="s">
        <v>54</v>
      </c>
      <c r="O79" s="37" t="s">
        <v>53</v>
      </c>
      <c r="P79" s="27" t="str">
        <f t="shared" si="15"/>
        <v>ФКУ "ГВКГ ВВ МВД России"</v>
      </c>
      <c r="Q79" s="28" t="s">
        <v>176</v>
      </c>
      <c r="R79" s="44">
        <v>117774</v>
      </c>
      <c r="S79" s="29" t="s">
        <v>177</v>
      </c>
      <c r="T79" s="27" t="str">
        <f t="shared" si="16"/>
        <v>№ 283 – 2014 ЭА (ИКЗ № 191 ЭА) поставка наволочек хлопчатобумажных</v>
      </c>
      <c r="U79" s="31">
        <v>41912.906365740702</v>
      </c>
      <c r="V79" s="27" t="str">
        <f>HYPERLINK("http://www.spark-marketing.ru/Participants/CardMain?id=9924", "ЗАО БМК ""МЕЛАНЖИСТ АЛТАЯ""")</f>
        <v>ЗАО БМК "МЕЛАНЖИСТ АЛТАЯ"</v>
      </c>
      <c r="W79" s="28" t="s">
        <v>185</v>
      </c>
      <c r="X79" s="29" t="s">
        <v>53</v>
      </c>
      <c r="Y79" s="44">
        <v>108002.26</v>
      </c>
      <c r="Z79" s="45">
        <v>8.2970265083974398E-2</v>
      </c>
      <c r="AA79" s="30" t="s">
        <v>56</v>
      </c>
      <c r="AB79" s="46">
        <v>6</v>
      </c>
      <c r="AC79" s="30" t="s">
        <v>60</v>
      </c>
      <c r="AD79" s="29" t="s">
        <v>53</v>
      </c>
      <c r="AE79" s="44" t="s">
        <v>53</v>
      </c>
      <c r="AF79" s="29" t="s">
        <v>53</v>
      </c>
      <c r="AG79" s="36" t="s">
        <v>53</v>
      </c>
      <c r="AH79" s="32" t="str">
        <f t="shared" si="17"/>
        <v>ссылка</v>
      </c>
    </row>
    <row r="80" spans="2:34" outlineLevel="1" x14ac:dyDescent="0.15">
      <c r="B80" s="34">
        <v>1</v>
      </c>
      <c r="C80" s="43" t="s">
        <v>74</v>
      </c>
      <c r="D80" s="35" t="s">
        <v>53</v>
      </c>
      <c r="E80" s="37" t="s">
        <v>53</v>
      </c>
      <c r="F80" s="37" t="s">
        <v>53</v>
      </c>
      <c r="G80" s="37" t="s">
        <v>54</v>
      </c>
      <c r="H80" s="37" t="s">
        <v>53</v>
      </c>
      <c r="I80" s="37" t="s">
        <v>53</v>
      </c>
      <c r="J80" s="37" t="s">
        <v>53</v>
      </c>
      <c r="K80" s="37" t="s">
        <v>53</v>
      </c>
      <c r="L80" s="37" t="s">
        <v>53</v>
      </c>
      <c r="M80" s="37" t="s">
        <v>53</v>
      </c>
      <c r="N80" s="37" t="s">
        <v>53</v>
      </c>
      <c r="O80" s="37" t="s">
        <v>53</v>
      </c>
      <c r="P80" s="27" t="str">
        <f>HYPERLINK("http://www.spark-marketing.ru/Participants/CardMain?id=617623", "ФКУЗ ""МСЧ МВД РОССИИ ПО РЕСПУБЛИКЕ ТАТАРСТАН""")</f>
        <v>ФКУЗ "МСЧ МВД РОССИИ ПО РЕСПУБЛИКЕ ТАТАРСТАН"</v>
      </c>
      <c r="Q80" s="28" t="s">
        <v>55</v>
      </c>
      <c r="R80" s="44">
        <v>1220761.8500000001</v>
      </c>
      <c r="S80" s="29" t="s">
        <v>186</v>
      </c>
      <c r="T80" s="27" t="str">
        <f>HYPERLINK("http://www.spark-marketing.ru/Purchases/CardMain?packId=212857892", "Поставка вакцин, анатоксин, токсин для поликлиники")</f>
        <v>Поставка вакцин, анатоксин, токсин для поликлиники</v>
      </c>
      <c r="U80" s="31">
        <v>41912.995775463001</v>
      </c>
      <c r="V80" s="27" t="s">
        <v>53</v>
      </c>
      <c r="W80" s="28" t="s">
        <v>53</v>
      </c>
      <c r="X80" s="29" t="s">
        <v>53</v>
      </c>
      <c r="Y80" s="44" t="s">
        <v>53</v>
      </c>
      <c r="Z80" s="45" t="s">
        <v>53</v>
      </c>
      <c r="AA80" s="30" t="s">
        <v>56</v>
      </c>
      <c r="AB80" s="46">
        <v>2</v>
      </c>
      <c r="AC80" s="30" t="s">
        <v>57</v>
      </c>
      <c r="AD80" s="29" t="s">
        <v>187</v>
      </c>
      <c r="AE80" s="44">
        <v>958142.95</v>
      </c>
      <c r="AF80" s="29" t="s">
        <v>188</v>
      </c>
      <c r="AG80" s="36" t="s">
        <v>189</v>
      </c>
      <c r="AH80" s="32" t="str">
        <f>HYPERLINK("http://zakupki.gov.ru/epz/order/notice/ea44/view/common-info.html?regNumber=0311100016814000212", "ссылка")</f>
        <v>ссылка</v>
      </c>
    </row>
    <row r="81" spans="2:34" outlineLevel="1" x14ac:dyDescent="0.15">
      <c r="B81" s="34">
        <v>2</v>
      </c>
      <c r="C81" s="43" t="s">
        <v>74</v>
      </c>
      <c r="D81" s="35" t="s">
        <v>53</v>
      </c>
      <c r="E81" s="37" t="s">
        <v>53</v>
      </c>
      <c r="F81" s="37" t="s">
        <v>53</v>
      </c>
      <c r="G81" s="37" t="s">
        <v>54</v>
      </c>
      <c r="H81" s="37" t="s">
        <v>53</v>
      </c>
      <c r="I81" s="37" t="s">
        <v>53</v>
      </c>
      <c r="J81" s="37" t="s">
        <v>53</v>
      </c>
      <c r="K81" s="37" t="s">
        <v>53</v>
      </c>
      <c r="L81" s="37" t="s">
        <v>53</v>
      </c>
      <c r="M81" s="37" t="s">
        <v>53</v>
      </c>
      <c r="N81" s="37" t="s">
        <v>53</v>
      </c>
      <c r="O81" s="37" t="s">
        <v>53</v>
      </c>
      <c r="P81" s="27" t="str">
        <f>HYPERLINK("http://www.spark-marketing.ru/Participants/CardMain?id=617623", "ФКУЗ ""МСЧ МВД РОССИИ ПО РЕСПУБЛИКЕ ТАТАРСТАН""")</f>
        <v>ФКУЗ "МСЧ МВД РОССИИ ПО РЕСПУБЛИКЕ ТАТАРСТАН"</v>
      </c>
      <c r="Q81" s="28" t="s">
        <v>55</v>
      </c>
      <c r="R81" s="44">
        <v>1220761.8500000001</v>
      </c>
      <c r="S81" s="29" t="s">
        <v>186</v>
      </c>
      <c r="T81" s="27" t="str">
        <f>HYPERLINK("http://www.spark-marketing.ru/Purchases/CardMain?packId=212857892", "Поставка вакцин, анатоксин, токсин для поликлиники")</f>
        <v>Поставка вакцин, анатоксин, токсин для поликлиники</v>
      </c>
      <c r="U81" s="31">
        <v>41912.995775463001</v>
      </c>
      <c r="V81" s="27" t="str">
        <f>HYPERLINK("http://www.spark-marketing.ru/Participants/CardMain?id=20699", "ЗАО ""Медсервис-регион""")</f>
        <v>ЗАО "Медсервис-регион"</v>
      </c>
      <c r="W81" s="28" t="s">
        <v>189</v>
      </c>
      <c r="X81" s="29" t="s">
        <v>12</v>
      </c>
      <c r="Y81" s="44">
        <v>988817.07</v>
      </c>
      <c r="Z81" s="45">
        <v>0.19000002334607688</v>
      </c>
      <c r="AA81" s="30" t="s">
        <v>56</v>
      </c>
      <c r="AB81" s="46">
        <v>2</v>
      </c>
      <c r="AC81" s="30" t="s">
        <v>57</v>
      </c>
      <c r="AD81" s="29" t="s">
        <v>53</v>
      </c>
      <c r="AE81" s="44" t="s">
        <v>53</v>
      </c>
      <c r="AF81" s="29" t="s">
        <v>53</v>
      </c>
      <c r="AG81" s="36" t="s">
        <v>53</v>
      </c>
      <c r="AH81" s="32" t="str">
        <f>HYPERLINK("http://zakupki.gov.ru/epz/order/notice/ea44/view/common-info.html?regNumber=0311100016814000212", "ссылка")</f>
        <v>ссылка</v>
      </c>
    </row>
    <row r="82" spans="2:34" outlineLevel="1" x14ac:dyDescent="0.15">
      <c r="B82" s="34">
        <v>2</v>
      </c>
      <c r="C82" s="43" t="s">
        <v>74</v>
      </c>
      <c r="D82" s="35" t="s">
        <v>53</v>
      </c>
      <c r="E82" s="37" t="s">
        <v>53</v>
      </c>
      <c r="F82" s="37" t="s">
        <v>53</v>
      </c>
      <c r="G82" s="37" t="s">
        <v>54</v>
      </c>
      <c r="H82" s="37" t="s">
        <v>53</v>
      </c>
      <c r="I82" s="37" t="s">
        <v>53</v>
      </c>
      <c r="J82" s="37" t="s">
        <v>53</v>
      </c>
      <c r="K82" s="37" t="s">
        <v>53</v>
      </c>
      <c r="L82" s="37" t="s">
        <v>53</v>
      </c>
      <c r="M82" s="37" t="s">
        <v>53</v>
      </c>
      <c r="N82" s="37" t="s">
        <v>53</v>
      </c>
      <c r="O82" s="37" t="s">
        <v>53</v>
      </c>
      <c r="P82" s="27" t="str">
        <f>HYPERLINK("http://www.spark-marketing.ru/Participants/CardMain?id=617623", "ФКУЗ ""МСЧ МВД РОССИИ ПО РЕСПУБЛИКЕ ТАТАРСТАН""")</f>
        <v>ФКУЗ "МСЧ МВД РОССИИ ПО РЕСПУБЛИКЕ ТАТАРСТАН"</v>
      </c>
      <c r="Q82" s="28" t="s">
        <v>55</v>
      </c>
      <c r="R82" s="44">
        <v>1220761.8500000001</v>
      </c>
      <c r="S82" s="29" t="s">
        <v>186</v>
      </c>
      <c r="T82" s="27" t="str">
        <f>HYPERLINK("http://www.spark-marketing.ru/Purchases/CardMain?packId=212857892", "Поставка вакцин, анатоксин, токсин для поликлиники")</f>
        <v>Поставка вакцин, анатоксин, токсин для поликлиники</v>
      </c>
      <c r="U82" s="31">
        <v>41912.995775463001</v>
      </c>
      <c r="V82" s="27" t="str">
        <f>HYPERLINK("http://www.spark-marketing.ru/Participants/CardMain?id=104140", "ООО ""МЕДИФ""")</f>
        <v>ООО "МЕДИФ"</v>
      </c>
      <c r="W82" s="28" t="s">
        <v>58</v>
      </c>
      <c r="X82" s="29" t="s">
        <v>53</v>
      </c>
      <c r="Y82" s="44">
        <v>994920.88</v>
      </c>
      <c r="Z82" s="45">
        <v>0.18500002273170643</v>
      </c>
      <c r="AA82" s="30" t="s">
        <v>56</v>
      </c>
      <c r="AB82" s="46">
        <v>2</v>
      </c>
      <c r="AC82" s="30" t="s">
        <v>57</v>
      </c>
      <c r="AD82" s="29" t="s">
        <v>53</v>
      </c>
      <c r="AE82" s="44" t="s">
        <v>53</v>
      </c>
      <c r="AF82" s="29" t="s">
        <v>53</v>
      </c>
      <c r="AG82" s="36" t="s">
        <v>53</v>
      </c>
      <c r="AH82" s="32" t="str">
        <f>HYPERLINK("http://zakupki.gov.ru/epz/order/notice/ea44/view/common-info.html?regNumber=0311100016814000212", "ссылка")</f>
        <v>ссылка</v>
      </c>
    </row>
    <row r="83" spans="2:34" outlineLevel="1" x14ac:dyDescent="0.15">
      <c r="B83" s="34">
        <v>1</v>
      </c>
      <c r="C83" s="43" t="s">
        <v>62</v>
      </c>
      <c r="D83" s="35" t="s">
        <v>53</v>
      </c>
      <c r="E83" s="37" t="s">
        <v>53</v>
      </c>
      <c r="F83" s="37" t="s">
        <v>54</v>
      </c>
      <c r="G83" s="37" t="s">
        <v>54</v>
      </c>
      <c r="H83" s="37" t="s">
        <v>53</v>
      </c>
      <c r="I83" s="37" t="s">
        <v>53</v>
      </c>
      <c r="J83" s="37" t="s">
        <v>53</v>
      </c>
      <c r="K83" s="37" t="s">
        <v>53</v>
      </c>
      <c r="L83" s="37" t="s">
        <v>53</v>
      </c>
      <c r="M83" s="37" t="s">
        <v>53</v>
      </c>
      <c r="N83" s="37" t="s">
        <v>54</v>
      </c>
      <c r="O83" s="37" t="s">
        <v>53</v>
      </c>
      <c r="P83" s="27" t="str">
        <f>HYPERLINK("http://www.spark-marketing.ru/Participants/CardMain?id=152676", "ГБУ ГДП № 6")</f>
        <v>ГБУ ГДП № 6</v>
      </c>
      <c r="Q83" s="28" t="s">
        <v>190</v>
      </c>
      <c r="R83" s="44">
        <v>336300</v>
      </c>
      <c r="S83" s="29" t="s">
        <v>191</v>
      </c>
      <c r="T83" s="27" t="str">
        <f>HYPERLINK("http://www.spark-marketing.ru/Purchases/CardMain?packId=212970369", "Поставка аллергена туберкулезного очищенного жидкого на 2 полугодие")</f>
        <v>Поставка аллергена туберкулезного очищенного жидкого на 2 полугодие</v>
      </c>
      <c r="U83" s="31">
        <v>41912.9761111111</v>
      </c>
      <c r="V83" s="27" t="s">
        <v>53</v>
      </c>
      <c r="W83" s="28" t="s">
        <v>53</v>
      </c>
      <c r="X83" s="29" t="s">
        <v>53</v>
      </c>
      <c r="Y83" s="44" t="s">
        <v>53</v>
      </c>
      <c r="Z83" s="45" t="s">
        <v>53</v>
      </c>
      <c r="AA83" s="30" t="s">
        <v>56</v>
      </c>
      <c r="AB83" s="46">
        <v>2</v>
      </c>
      <c r="AC83" s="30" t="s">
        <v>60</v>
      </c>
      <c r="AD83" s="29" t="s">
        <v>192</v>
      </c>
      <c r="AE83" s="44">
        <v>111483.45</v>
      </c>
      <c r="AF83" s="29" t="s">
        <v>193</v>
      </c>
      <c r="AG83" s="36" t="s">
        <v>72</v>
      </c>
      <c r="AH83" s="32" t="str">
        <f>HYPERLINK("http://zakupki.gov.ru/epz/order/notice/ea44/view/common-info.html?regNumber=0335300045114000039", "ссылка")</f>
        <v>ссылка</v>
      </c>
    </row>
    <row r="84" spans="2:34" outlineLevel="1" x14ac:dyDescent="0.15">
      <c r="B84" s="34">
        <v>2</v>
      </c>
      <c r="C84" s="43" t="s">
        <v>62</v>
      </c>
      <c r="D84" s="35" t="s">
        <v>53</v>
      </c>
      <c r="E84" s="37" t="s">
        <v>53</v>
      </c>
      <c r="F84" s="37" t="s">
        <v>54</v>
      </c>
      <c r="G84" s="37" t="s">
        <v>54</v>
      </c>
      <c r="H84" s="37" t="s">
        <v>53</v>
      </c>
      <c r="I84" s="37" t="s">
        <v>53</v>
      </c>
      <c r="J84" s="37" t="s">
        <v>53</v>
      </c>
      <c r="K84" s="37" t="s">
        <v>53</v>
      </c>
      <c r="L84" s="37" t="s">
        <v>53</v>
      </c>
      <c r="M84" s="37" t="s">
        <v>53</v>
      </c>
      <c r="N84" s="37" t="s">
        <v>54</v>
      </c>
      <c r="O84" s="37" t="s">
        <v>53</v>
      </c>
      <c r="P84" s="27" t="str">
        <f>HYPERLINK("http://www.spark-marketing.ru/Participants/CardMain?id=152676", "ГБУ ГДП № 6")</f>
        <v>ГБУ ГДП № 6</v>
      </c>
      <c r="Q84" s="28" t="s">
        <v>190</v>
      </c>
      <c r="R84" s="44">
        <v>336300</v>
      </c>
      <c r="S84" s="29" t="s">
        <v>191</v>
      </c>
      <c r="T84" s="27" t="str">
        <f>HYPERLINK("http://www.spark-marketing.ru/Purchases/CardMain?packId=212970369", "Поставка аллергена туберкулезного очищенного жидкого на 2 полугодие")</f>
        <v>Поставка аллергена туберкулезного очищенного жидкого на 2 полугодие</v>
      </c>
      <c r="U84" s="31">
        <v>41912.9761111111</v>
      </c>
      <c r="V84" s="27" t="str">
        <f>HYPERLINK("http://www.spark-marketing.ru/Participants/CardMain?id=4740", "ООО ""ЦЕНТРОФАРМА""")</f>
        <v>ООО "ЦЕНТРОФАРМА"</v>
      </c>
      <c r="W84" s="28" t="s">
        <v>72</v>
      </c>
      <c r="X84" s="29" t="s">
        <v>12</v>
      </c>
      <c r="Y84" s="44">
        <v>131157</v>
      </c>
      <c r="Z84" s="45">
        <v>0.61</v>
      </c>
      <c r="AA84" s="30" t="s">
        <v>56</v>
      </c>
      <c r="AB84" s="46">
        <v>2</v>
      </c>
      <c r="AC84" s="30" t="s">
        <v>60</v>
      </c>
      <c r="AD84" s="29" t="s">
        <v>53</v>
      </c>
      <c r="AE84" s="44" t="s">
        <v>53</v>
      </c>
      <c r="AF84" s="29" t="s">
        <v>53</v>
      </c>
      <c r="AG84" s="36" t="s">
        <v>53</v>
      </c>
      <c r="AH84" s="32" t="str">
        <f>HYPERLINK("http://zakupki.gov.ru/epz/order/notice/ea44/view/common-info.html?regNumber=0335300045114000039", "ссылка")</f>
        <v>ссылка</v>
      </c>
    </row>
    <row r="85" spans="2:34" outlineLevel="1" x14ac:dyDescent="0.15">
      <c r="B85" s="34">
        <v>2</v>
      </c>
      <c r="C85" s="43" t="s">
        <v>62</v>
      </c>
      <c r="D85" s="35" t="s">
        <v>53</v>
      </c>
      <c r="E85" s="37" t="s">
        <v>53</v>
      </c>
      <c r="F85" s="37" t="s">
        <v>54</v>
      </c>
      <c r="G85" s="37" t="s">
        <v>54</v>
      </c>
      <c r="H85" s="37" t="s">
        <v>53</v>
      </c>
      <c r="I85" s="37" t="s">
        <v>53</v>
      </c>
      <c r="J85" s="37" t="s">
        <v>53</v>
      </c>
      <c r="K85" s="37" t="s">
        <v>53</v>
      </c>
      <c r="L85" s="37" t="s">
        <v>53</v>
      </c>
      <c r="M85" s="37" t="s">
        <v>53</v>
      </c>
      <c r="N85" s="37" t="s">
        <v>54</v>
      </c>
      <c r="O85" s="37" t="s">
        <v>53</v>
      </c>
      <c r="P85" s="27" t="str">
        <f>HYPERLINK("http://www.spark-marketing.ru/Participants/CardMain?id=152676", "ГБУ ГДП № 6")</f>
        <v>ГБУ ГДП № 6</v>
      </c>
      <c r="Q85" s="28" t="s">
        <v>190</v>
      </c>
      <c r="R85" s="44">
        <v>336300</v>
      </c>
      <c r="S85" s="29" t="s">
        <v>191</v>
      </c>
      <c r="T85" s="27" t="str">
        <f>HYPERLINK("http://www.spark-marketing.ru/Purchases/CardMain?packId=212970369", "Поставка аллергена туберкулезного очищенного жидкого на 2 полугодие")</f>
        <v>Поставка аллергена туберкулезного очищенного жидкого на 2 полугодие</v>
      </c>
      <c r="U85" s="31">
        <v>41912.9761111111</v>
      </c>
      <c r="V85" s="27" t="str">
        <f>HYPERLINK("http://www.spark-marketing.ru/Participants/CardMain?id=27000", "ООО ""БТП""")</f>
        <v>ООО "БТП"</v>
      </c>
      <c r="W85" s="28" t="s">
        <v>194</v>
      </c>
      <c r="X85" s="29" t="s">
        <v>53</v>
      </c>
      <c r="Y85" s="44">
        <v>132838.5</v>
      </c>
      <c r="Z85" s="45">
        <v>0.60499999999999998</v>
      </c>
      <c r="AA85" s="30" t="s">
        <v>56</v>
      </c>
      <c r="AB85" s="46">
        <v>2</v>
      </c>
      <c r="AC85" s="30" t="s">
        <v>60</v>
      </c>
      <c r="AD85" s="29" t="s">
        <v>53</v>
      </c>
      <c r="AE85" s="44" t="s">
        <v>53</v>
      </c>
      <c r="AF85" s="29" t="s">
        <v>53</v>
      </c>
      <c r="AG85" s="36" t="s">
        <v>53</v>
      </c>
      <c r="AH85" s="32" t="str">
        <f>HYPERLINK("http://zakupki.gov.ru/epz/order/notice/ea44/view/common-info.html?regNumber=0335300045114000039", "ссылка")</f>
        <v>ссылка</v>
      </c>
    </row>
    <row r="86" spans="2:34" x14ac:dyDescent="0.15">
      <c r="B86" s="34">
        <v>1</v>
      </c>
      <c r="C86" s="43" t="s">
        <v>110</v>
      </c>
      <c r="D86" s="35" t="s">
        <v>53</v>
      </c>
      <c r="E86" s="37" t="s">
        <v>53</v>
      </c>
      <c r="F86" s="37" t="s">
        <v>54</v>
      </c>
      <c r="G86" s="37" t="s">
        <v>54</v>
      </c>
      <c r="H86" s="37" t="s">
        <v>53</v>
      </c>
      <c r="I86" s="37" t="s">
        <v>53</v>
      </c>
      <c r="J86" s="37" t="s">
        <v>53</v>
      </c>
      <c r="K86" s="37" t="s">
        <v>53</v>
      </c>
      <c r="L86" s="37" t="s">
        <v>53</v>
      </c>
      <c r="M86" s="37" t="s">
        <v>53</v>
      </c>
      <c r="N86" s="37" t="s">
        <v>53</v>
      </c>
      <c r="O86" s="37" t="s">
        <v>53</v>
      </c>
      <c r="P86" s="27" t="str">
        <f>HYPERLINK("http://www.spark-marketing.ru/Participants/CardMain?id=351141", "УФСБ России по Мурманской области")</f>
        <v>УФСБ России по Мурманской области</v>
      </c>
      <c r="Q86" s="28" t="s">
        <v>195</v>
      </c>
      <c r="R86" s="44">
        <v>350000</v>
      </c>
      <c r="S86" s="29" t="s">
        <v>196</v>
      </c>
      <c r="T86" s="27" t="str">
        <f>HYPERLINK("http://www.spark-marketing.ru/Purchases/CardMain?packId=212979812", "ремонт и заправку картриджей для копировально-множительной техники")</f>
        <v>ремонт и заправку картриджей для копировально-множительной техники</v>
      </c>
      <c r="U86" s="31">
        <v>41912.9523611111</v>
      </c>
      <c r="V86" s="27" t="s">
        <v>53</v>
      </c>
      <c r="W86" s="28" t="s">
        <v>53</v>
      </c>
      <c r="X86" s="29" t="s">
        <v>53</v>
      </c>
      <c r="Y86" s="44" t="s">
        <v>53</v>
      </c>
      <c r="Z86" s="45" t="s">
        <v>53</v>
      </c>
      <c r="AA86" s="30" t="s">
        <v>56</v>
      </c>
      <c r="AB86" s="46">
        <v>2</v>
      </c>
      <c r="AC86" s="30" t="s">
        <v>60</v>
      </c>
      <c r="AD86" s="29" t="s">
        <v>197</v>
      </c>
      <c r="AE86" s="44">
        <v>350000</v>
      </c>
      <c r="AF86" s="29" t="s">
        <v>198</v>
      </c>
      <c r="AG86" s="36" t="s">
        <v>199</v>
      </c>
      <c r="AH86" s="32" t="str">
        <f>HYPERLINK("http://zakupki.gov.ru/epz/order/notice/ea44/view/common-info.html?regNumber=0149100001914000204", "ссылка")</f>
        <v>ссылка</v>
      </c>
    </row>
    <row r="87" spans="2:34" outlineLevel="1" x14ac:dyDescent="0.15">
      <c r="B87" s="34">
        <v>2</v>
      </c>
      <c r="C87" s="43" t="s">
        <v>110</v>
      </c>
      <c r="D87" s="35" t="s">
        <v>53</v>
      </c>
      <c r="E87" s="37" t="s">
        <v>53</v>
      </c>
      <c r="F87" s="37" t="s">
        <v>54</v>
      </c>
      <c r="G87" s="37" t="s">
        <v>54</v>
      </c>
      <c r="H87" s="37" t="s">
        <v>53</v>
      </c>
      <c r="I87" s="37" t="s">
        <v>53</v>
      </c>
      <c r="J87" s="37" t="s">
        <v>53</v>
      </c>
      <c r="K87" s="37" t="s">
        <v>53</v>
      </c>
      <c r="L87" s="37" t="s">
        <v>53</v>
      </c>
      <c r="M87" s="37" t="s">
        <v>53</v>
      </c>
      <c r="N87" s="37" t="s">
        <v>53</v>
      </c>
      <c r="O87" s="37" t="s">
        <v>53</v>
      </c>
      <c r="P87" s="27" t="str">
        <f>HYPERLINK("http://www.spark-marketing.ru/Participants/CardMain?id=351141", "УФСБ России по Мурманской области")</f>
        <v>УФСБ России по Мурманской области</v>
      </c>
      <c r="Q87" s="28" t="s">
        <v>195</v>
      </c>
      <c r="R87" s="44">
        <v>350000</v>
      </c>
      <c r="S87" s="29" t="s">
        <v>196</v>
      </c>
      <c r="T87" s="27" t="str">
        <f>HYPERLINK("http://www.spark-marketing.ru/Purchases/CardMain?packId=212979812", "ремонт и заправку картриджей для копировально-множительной техники")</f>
        <v>ремонт и заправку картриджей для копировально-множительной техники</v>
      </c>
      <c r="U87" s="31">
        <v>41912.9523611111</v>
      </c>
      <c r="V87" s="27" t="str">
        <f>HYPERLINK("http://www.spark-marketing.ru/Participants/CardMain?id=1307300", "ООО ""ПрофТехСервис""")</f>
        <v>ООО "ПрофТехСервис"</v>
      </c>
      <c r="W87" s="28" t="s">
        <v>199</v>
      </c>
      <c r="X87" s="29" t="s">
        <v>12</v>
      </c>
      <c r="Y87" s="44">
        <v>223288</v>
      </c>
      <c r="Z87" s="45">
        <v>0.3620342857142857</v>
      </c>
      <c r="AA87" s="30" t="s">
        <v>56</v>
      </c>
      <c r="AB87" s="46">
        <v>2</v>
      </c>
      <c r="AC87" s="30" t="s">
        <v>60</v>
      </c>
      <c r="AD87" s="29" t="s">
        <v>53</v>
      </c>
      <c r="AE87" s="44" t="s">
        <v>53</v>
      </c>
      <c r="AF87" s="29" t="s">
        <v>53</v>
      </c>
      <c r="AG87" s="36" t="s">
        <v>53</v>
      </c>
      <c r="AH87" s="32" t="str">
        <f>HYPERLINK("http://zakupki.gov.ru/epz/order/notice/ea44/view/common-info.html?regNumber=0149100001914000204", "ссылка")</f>
        <v>ссылка</v>
      </c>
    </row>
    <row r="88" spans="2:34" outlineLevel="1" x14ac:dyDescent="0.15">
      <c r="B88" s="34">
        <v>2</v>
      </c>
      <c r="C88" s="43" t="s">
        <v>110</v>
      </c>
      <c r="D88" s="35" t="s">
        <v>53</v>
      </c>
      <c r="E88" s="37" t="s">
        <v>53</v>
      </c>
      <c r="F88" s="37" t="s">
        <v>54</v>
      </c>
      <c r="G88" s="37" t="s">
        <v>54</v>
      </c>
      <c r="H88" s="37" t="s">
        <v>53</v>
      </c>
      <c r="I88" s="37" t="s">
        <v>53</v>
      </c>
      <c r="J88" s="37" t="s">
        <v>53</v>
      </c>
      <c r="K88" s="37" t="s">
        <v>53</v>
      </c>
      <c r="L88" s="37" t="s">
        <v>53</v>
      </c>
      <c r="M88" s="37" t="s">
        <v>53</v>
      </c>
      <c r="N88" s="37" t="s">
        <v>53</v>
      </c>
      <c r="O88" s="37" t="s">
        <v>53</v>
      </c>
      <c r="P88" s="27" t="str">
        <f>HYPERLINK("http://www.spark-marketing.ru/Participants/CardMain?id=351141", "УФСБ России по Мурманской области")</f>
        <v>УФСБ России по Мурманской области</v>
      </c>
      <c r="Q88" s="28" t="s">
        <v>195</v>
      </c>
      <c r="R88" s="44">
        <v>350000</v>
      </c>
      <c r="S88" s="29" t="s">
        <v>196</v>
      </c>
      <c r="T88" s="27" t="str">
        <f>HYPERLINK("http://www.spark-marketing.ru/Purchases/CardMain?packId=212979812", "ремонт и заправку картриджей для копировально-множительной техники")</f>
        <v>ремонт и заправку картриджей для копировально-множительной техники</v>
      </c>
      <c r="U88" s="31">
        <v>41912.9523611111</v>
      </c>
      <c r="V88" s="27" t="str">
        <f>HYPERLINK("http://www.spark-marketing.ru/Participants/CardMain?id=3320616", "ООО ""ТЕХНОКОПИ""")</f>
        <v>ООО "ТЕХНОКОПИ"</v>
      </c>
      <c r="W88" s="28" t="s">
        <v>200</v>
      </c>
      <c r="X88" s="29" t="s">
        <v>53</v>
      </c>
      <c r="Y88" s="44">
        <v>224520</v>
      </c>
      <c r="Z88" s="45">
        <v>0.35851428571428573</v>
      </c>
      <c r="AA88" s="30" t="s">
        <v>56</v>
      </c>
      <c r="AB88" s="46">
        <v>2</v>
      </c>
      <c r="AC88" s="30" t="s">
        <v>60</v>
      </c>
      <c r="AD88" s="29" t="s">
        <v>53</v>
      </c>
      <c r="AE88" s="44" t="s">
        <v>53</v>
      </c>
      <c r="AF88" s="29" t="s">
        <v>53</v>
      </c>
      <c r="AG88" s="36" t="s">
        <v>53</v>
      </c>
      <c r="AH88" s="32" t="str">
        <f>HYPERLINK("http://zakupki.gov.ru/epz/order/notice/ea44/view/common-info.html?regNumber=0149100001914000204", "ссылка")</f>
        <v>ссылка</v>
      </c>
    </row>
    <row r="89" spans="2:34" outlineLevel="1" x14ac:dyDescent="0.15">
      <c r="B89" s="34">
        <v>1</v>
      </c>
      <c r="C89" s="43" t="s">
        <v>110</v>
      </c>
      <c r="D89" s="35" t="s">
        <v>53</v>
      </c>
      <c r="E89" s="37" t="s">
        <v>53</v>
      </c>
      <c r="F89" s="37" t="s">
        <v>54</v>
      </c>
      <c r="G89" s="37" t="s">
        <v>54</v>
      </c>
      <c r="H89" s="37" t="s">
        <v>53</v>
      </c>
      <c r="I89" s="37" t="s">
        <v>53</v>
      </c>
      <c r="J89" s="37" t="s">
        <v>53</v>
      </c>
      <c r="K89" s="37" t="s">
        <v>53</v>
      </c>
      <c r="L89" s="37" t="s">
        <v>53</v>
      </c>
      <c r="M89" s="37" t="s">
        <v>53</v>
      </c>
      <c r="N89" s="37" t="s">
        <v>53</v>
      </c>
      <c r="O89" s="37" t="s">
        <v>53</v>
      </c>
      <c r="P89" s="27" t="str">
        <f>HYPERLINK("http://www.spark-marketing.ru/Participants/CardMain?id=2737867", "КОМИТЕТ ГОСУДАРСТВЕННОГО ФИНАНСОВОГО КОНТРОЛЯ САНКТ-ПЕТЕРБУРГА")</f>
        <v>КОМИТЕТ ГОСУДАРСТВЕННОГО ФИНАНСОВОГО КОНТРОЛЯ САНКТ-ПЕТЕРБУРГА</v>
      </c>
      <c r="Q89" s="28" t="s">
        <v>201</v>
      </c>
      <c r="R89" s="44">
        <v>299997</v>
      </c>
      <c r="S89" s="29" t="s">
        <v>202</v>
      </c>
      <c r="T89" s="27" t="str">
        <f>HYPERLINK("http://www.spark-marketing.ru/Purchases/CardMain?packId=212982733", "Закупка картриджей для нужд Комитета государственного финансового контроля Санкт-Петербурга")</f>
        <v>Закупка картриджей для нужд Комитета государственного финансового контроля Санкт-Петербурга</v>
      </c>
      <c r="U89" s="31">
        <v>41912.915937500002</v>
      </c>
      <c r="V89" s="27" t="s">
        <v>53</v>
      </c>
      <c r="W89" s="28" t="s">
        <v>53</v>
      </c>
      <c r="X89" s="29" t="s">
        <v>53</v>
      </c>
      <c r="Y89" s="44" t="s">
        <v>53</v>
      </c>
      <c r="Z89" s="45" t="s">
        <v>53</v>
      </c>
      <c r="AA89" s="30" t="s">
        <v>56</v>
      </c>
      <c r="AB89" s="46">
        <v>4</v>
      </c>
      <c r="AC89" s="30" t="s">
        <v>60</v>
      </c>
      <c r="AD89" s="29" t="s">
        <v>203</v>
      </c>
      <c r="AE89" s="44">
        <v>299436</v>
      </c>
      <c r="AF89" s="29" t="s">
        <v>204</v>
      </c>
      <c r="AG89" s="36" t="s">
        <v>205</v>
      </c>
      <c r="AH89" s="32" t="str">
        <f>HYPERLINK("http://zakupki.gov.ru/epz/order/notice/ea44/view/common-info.html?regNumber=0172200010114000012", "ссылка")</f>
        <v>ссылка</v>
      </c>
    </row>
    <row r="90" spans="2:34" outlineLevel="1" x14ac:dyDescent="0.15">
      <c r="B90" s="34">
        <v>2</v>
      </c>
      <c r="C90" s="43" t="s">
        <v>110</v>
      </c>
      <c r="D90" s="35" t="s">
        <v>53</v>
      </c>
      <c r="E90" s="37" t="s">
        <v>53</v>
      </c>
      <c r="F90" s="37" t="s">
        <v>54</v>
      </c>
      <c r="G90" s="37" t="s">
        <v>54</v>
      </c>
      <c r="H90" s="37" t="s">
        <v>53</v>
      </c>
      <c r="I90" s="37" t="s">
        <v>53</v>
      </c>
      <c r="J90" s="37" t="s">
        <v>53</v>
      </c>
      <c r="K90" s="37" t="s">
        <v>53</v>
      </c>
      <c r="L90" s="37" t="s">
        <v>53</v>
      </c>
      <c r="M90" s="37" t="s">
        <v>53</v>
      </c>
      <c r="N90" s="37" t="s">
        <v>53</v>
      </c>
      <c r="O90" s="37" t="s">
        <v>53</v>
      </c>
      <c r="P90" s="27" t="str">
        <f>HYPERLINK("http://www.spark-marketing.ru/Participants/CardMain?id=2737867", "КОМИТЕТ ГОСУДАРСТВЕННОГО ФИНАНСОВОГО КОНТРОЛЯ САНКТ-ПЕТЕРБУРГА")</f>
        <v>КОМИТЕТ ГОСУДАРСТВЕННОГО ФИНАНСОВОГО КОНТРОЛЯ САНКТ-ПЕТЕРБУРГА</v>
      </c>
      <c r="Q90" s="28" t="s">
        <v>201</v>
      </c>
      <c r="R90" s="44">
        <v>299997</v>
      </c>
      <c r="S90" s="29" t="s">
        <v>202</v>
      </c>
      <c r="T90" s="27" t="str">
        <f>HYPERLINK("http://www.spark-marketing.ru/Purchases/CardMain?packId=212982733", "Закупка картриджей для нужд Комитета государственного финансового контроля Санкт-Петербурга")</f>
        <v>Закупка картриджей для нужд Комитета государственного финансового контроля Санкт-Петербурга</v>
      </c>
      <c r="U90" s="31">
        <v>41912.915937500002</v>
      </c>
      <c r="V90" s="27" t="str">
        <f>HYPERLINK("http://www.spark-marketing.ru/Participants/CardMain?id=2838262", "ООО ""СТАНДАРТ""")</f>
        <v>ООО "СТАНДАРТ"</v>
      </c>
      <c r="W90" s="28" t="s">
        <v>205</v>
      </c>
      <c r="X90" s="29" t="s">
        <v>12</v>
      </c>
      <c r="Y90" s="44">
        <v>144000</v>
      </c>
      <c r="Z90" s="45">
        <v>0.5199951999519995</v>
      </c>
      <c r="AA90" s="30" t="s">
        <v>56</v>
      </c>
      <c r="AB90" s="46">
        <v>4</v>
      </c>
      <c r="AC90" s="30" t="s">
        <v>60</v>
      </c>
      <c r="AD90" s="29" t="s">
        <v>53</v>
      </c>
      <c r="AE90" s="44" t="s">
        <v>53</v>
      </c>
      <c r="AF90" s="29" t="s">
        <v>53</v>
      </c>
      <c r="AG90" s="36" t="s">
        <v>53</v>
      </c>
      <c r="AH90" s="32" t="str">
        <f>HYPERLINK("http://zakupki.gov.ru/epz/order/notice/ea44/view/common-info.html?regNumber=0172200010114000012", "ссылка")</f>
        <v>ссылка</v>
      </c>
    </row>
    <row r="91" spans="2:34" outlineLevel="1" x14ac:dyDescent="0.15">
      <c r="B91" s="34">
        <v>2</v>
      </c>
      <c r="C91" s="43" t="s">
        <v>110</v>
      </c>
      <c r="D91" s="35" t="s">
        <v>53</v>
      </c>
      <c r="E91" s="37" t="s">
        <v>53</v>
      </c>
      <c r="F91" s="37" t="s">
        <v>54</v>
      </c>
      <c r="G91" s="37" t="s">
        <v>54</v>
      </c>
      <c r="H91" s="37" t="s">
        <v>53</v>
      </c>
      <c r="I91" s="37" t="s">
        <v>53</v>
      </c>
      <c r="J91" s="37" t="s">
        <v>53</v>
      </c>
      <c r="K91" s="37" t="s">
        <v>53</v>
      </c>
      <c r="L91" s="37" t="s">
        <v>53</v>
      </c>
      <c r="M91" s="37" t="s">
        <v>53</v>
      </c>
      <c r="N91" s="37" t="s">
        <v>53</v>
      </c>
      <c r="O91" s="37" t="s">
        <v>53</v>
      </c>
      <c r="P91" s="27" t="str">
        <f>HYPERLINK("http://www.spark-marketing.ru/Participants/CardMain?id=2737867", "КОМИТЕТ ГОСУДАРСТВЕННОГО ФИНАНСОВОГО КОНТРОЛЯ САНКТ-ПЕТЕРБУРГА")</f>
        <v>КОМИТЕТ ГОСУДАРСТВЕННОГО ФИНАНСОВОГО КОНТРОЛЯ САНКТ-ПЕТЕРБУРГА</v>
      </c>
      <c r="Q91" s="28" t="s">
        <v>201</v>
      </c>
      <c r="R91" s="44">
        <v>299997</v>
      </c>
      <c r="S91" s="29" t="s">
        <v>202</v>
      </c>
      <c r="T91" s="27" t="str">
        <f>HYPERLINK("http://www.spark-marketing.ru/Purchases/CardMain?packId=212982733", "Закупка картриджей для нужд Комитета государственного финансового контроля Санкт-Петербурга")</f>
        <v>Закупка картриджей для нужд Комитета государственного финансового контроля Санкт-Петербурга</v>
      </c>
      <c r="U91" s="31">
        <v>41912.915937500002</v>
      </c>
      <c r="V91" s="27" t="str">
        <f>HYPERLINK("http://www.spark-marketing.ru/Participants/CardMain?id=3250073", "ООО ""ОргтехТрейд""")</f>
        <v>ООО "ОргтехТрейд"</v>
      </c>
      <c r="W91" s="28" t="s">
        <v>206</v>
      </c>
      <c r="X91" s="29" t="s">
        <v>53</v>
      </c>
      <c r="Y91" s="44">
        <v>145500.03</v>
      </c>
      <c r="Z91" s="45">
        <v>0.51499504995049949</v>
      </c>
      <c r="AA91" s="30" t="s">
        <v>56</v>
      </c>
      <c r="AB91" s="46">
        <v>4</v>
      </c>
      <c r="AC91" s="30" t="s">
        <v>60</v>
      </c>
      <c r="AD91" s="29" t="s">
        <v>53</v>
      </c>
      <c r="AE91" s="44" t="s">
        <v>53</v>
      </c>
      <c r="AF91" s="29" t="s">
        <v>53</v>
      </c>
      <c r="AG91" s="36" t="s">
        <v>53</v>
      </c>
      <c r="AH91" s="32" t="str">
        <f>HYPERLINK("http://zakupki.gov.ru/epz/order/notice/ea44/view/common-info.html?regNumber=0172200010114000012", "ссылка")</f>
        <v>ссылка</v>
      </c>
    </row>
    <row r="92" spans="2:34" x14ac:dyDescent="0.15">
      <c r="B92" s="34">
        <v>2</v>
      </c>
      <c r="C92" s="43" t="s">
        <v>110</v>
      </c>
      <c r="D92" s="35" t="s">
        <v>53</v>
      </c>
      <c r="E92" s="37" t="s">
        <v>53</v>
      </c>
      <c r="F92" s="37" t="s">
        <v>54</v>
      </c>
      <c r="G92" s="37" t="s">
        <v>54</v>
      </c>
      <c r="H92" s="37" t="s">
        <v>53</v>
      </c>
      <c r="I92" s="37" t="s">
        <v>53</v>
      </c>
      <c r="J92" s="37" t="s">
        <v>53</v>
      </c>
      <c r="K92" s="37" t="s">
        <v>53</v>
      </c>
      <c r="L92" s="37" t="s">
        <v>53</v>
      </c>
      <c r="M92" s="37" t="s">
        <v>53</v>
      </c>
      <c r="N92" s="37" t="s">
        <v>53</v>
      </c>
      <c r="O92" s="37" t="s">
        <v>53</v>
      </c>
      <c r="P92" s="27" t="str">
        <f>HYPERLINK("http://www.spark-marketing.ru/Participants/CardMain?id=2737867", "КОМИТЕТ ГОСУДАРСТВЕННОГО ФИНАНСОВОГО КОНТРОЛЯ САНКТ-ПЕТЕРБУРГА")</f>
        <v>КОМИТЕТ ГОСУДАРСТВЕННОГО ФИНАНСОВОГО КОНТРОЛЯ САНКТ-ПЕТЕРБУРГА</v>
      </c>
      <c r="Q92" s="28" t="s">
        <v>201</v>
      </c>
      <c r="R92" s="44">
        <v>299997</v>
      </c>
      <c r="S92" s="29" t="s">
        <v>202</v>
      </c>
      <c r="T92" s="27" t="str">
        <f>HYPERLINK("http://www.spark-marketing.ru/Purchases/CardMain?packId=212982733", "Закупка картриджей для нужд Комитета государственного финансового контроля Санкт-Петербурга")</f>
        <v>Закупка картриджей для нужд Комитета государственного финансового контроля Санкт-Петербурга</v>
      </c>
      <c r="U92" s="31">
        <v>41912.915937500002</v>
      </c>
      <c r="V92" s="27" t="str">
        <f>HYPERLINK("http://www.spark-marketing.ru/Participants/CardMain?id=544517", "ООО ""АК МПС""")</f>
        <v>ООО "АК МПС"</v>
      </c>
      <c r="W92" s="28" t="s">
        <v>207</v>
      </c>
      <c r="X92" s="29" t="s">
        <v>53</v>
      </c>
      <c r="Y92" s="44">
        <v>239000.19</v>
      </c>
      <c r="Z92" s="45">
        <v>0.20332473324733247</v>
      </c>
      <c r="AA92" s="30" t="s">
        <v>56</v>
      </c>
      <c r="AB92" s="46">
        <v>4</v>
      </c>
      <c r="AC92" s="30" t="s">
        <v>60</v>
      </c>
      <c r="AD92" s="29" t="s">
        <v>53</v>
      </c>
      <c r="AE92" s="44" t="s">
        <v>53</v>
      </c>
      <c r="AF92" s="29" t="s">
        <v>53</v>
      </c>
      <c r="AG92" s="36" t="s">
        <v>53</v>
      </c>
      <c r="AH92" s="32" t="str">
        <f>HYPERLINK("http://zakupki.gov.ru/epz/order/notice/ea44/view/common-info.html?regNumber=0172200010114000012", "ссылка")</f>
        <v>ссылка</v>
      </c>
    </row>
    <row r="93" spans="2:34" outlineLevel="1" x14ac:dyDescent="0.15">
      <c r="B93" s="34">
        <v>2</v>
      </c>
      <c r="C93" s="43" t="s">
        <v>110</v>
      </c>
      <c r="D93" s="35" t="s">
        <v>53</v>
      </c>
      <c r="E93" s="37" t="s">
        <v>53</v>
      </c>
      <c r="F93" s="37" t="s">
        <v>54</v>
      </c>
      <c r="G93" s="37" t="s">
        <v>54</v>
      </c>
      <c r="H93" s="37" t="s">
        <v>53</v>
      </c>
      <c r="I93" s="37" t="s">
        <v>53</v>
      </c>
      <c r="J93" s="37" t="s">
        <v>53</v>
      </c>
      <c r="K93" s="37" t="s">
        <v>53</v>
      </c>
      <c r="L93" s="37" t="s">
        <v>53</v>
      </c>
      <c r="M93" s="37" t="s">
        <v>53</v>
      </c>
      <c r="N93" s="37" t="s">
        <v>53</v>
      </c>
      <c r="O93" s="37" t="s">
        <v>53</v>
      </c>
      <c r="P93" s="27" t="str">
        <f>HYPERLINK("http://www.spark-marketing.ru/Participants/CardMain?id=2737867", "КОМИТЕТ ГОСУДАРСТВЕННОГО ФИНАНСОВОГО КОНТРОЛЯ САНКТ-ПЕТЕРБУРГА")</f>
        <v>КОМИТЕТ ГОСУДАРСТВЕННОГО ФИНАНСОВОГО КОНТРОЛЯ САНКТ-ПЕТЕРБУРГА</v>
      </c>
      <c r="Q93" s="28" t="s">
        <v>201</v>
      </c>
      <c r="R93" s="44">
        <v>299997</v>
      </c>
      <c r="S93" s="29" t="s">
        <v>202</v>
      </c>
      <c r="T93" s="27" t="str">
        <f>HYPERLINK("http://www.spark-marketing.ru/Purchases/CardMain?packId=212982733", "Закупка картриджей для нужд Комитета государственного финансового контроля Санкт-Петербурга")</f>
        <v>Закупка картриджей для нужд Комитета государственного финансового контроля Санкт-Петербурга</v>
      </c>
      <c r="U93" s="31">
        <v>41912.915937500002</v>
      </c>
      <c r="V93" s="27" t="str">
        <f>HYPERLINK("http://www.spark-marketing.ru/Participants/CardMain?id=1074733", "ООО ""Бизнес трейд""")</f>
        <v>ООО "Бизнес трейд"</v>
      </c>
      <c r="W93" s="28" t="s">
        <v>208</v>
      </c>
      <c r="X93" s="29" t="s">
        <v>53</v>
      </c>
      <c r="Y93" s="44">
        <v>296997.01</v>
      </c>
      <c r="Z93" s="45">
        <v>1.000006666733334E-2</v>
      </c>
      <c r="AA93" s="30" t="s">
        <v>56</v>
      </c>
      <c r="AB93" s="46">
        <v>4</v>
      </c>
      <c r="AC93" s="30" t="s">
        <v>60</v>
      </c>
      <c r="AD93" s="29" t="s">
        <v>53</v>
      </c>
      <c r="AE93" s="44" t="s">
        <v>53</v>
      </c>
      <c r="AF93" s="29" t="s">
        <v>53</v>
      </c>
      <c r="AG93" s="36" t="s">
        <v>53</v>
      </c>
      <c r="AH93" s="32" t="str">
        <f>HYPERLINK("http://zakupki.gov.ru/epz/order/notice/ea44/view/common-info.html?regNumber=0172200010114000012", "ссылка")</f>
        <v>ссылка</v>
      </c>
    </row>
    <row r="94" spans="2:34" outlineLevel="1" x14ac:dyDescent="0.15">
      <c r="B94" s="34">
        <v>1</v>
      </c>
      <c r="C94" s="43" t="s">
        <v>110</v>
      </c>
      <c r="D94" s="35" t="s">
        <v>53</v>
      </c>
      <c r="E94" s="37" t="s">
        <v>53</v>
      </c>
      <c r="F94" s="37" t="s">
        <v>54</v>
      </c>
      <c r="G94" s="37" t="s">
        <v>54</v>
      </c>
      <c r="H94" s="37" t="s">
        <v>53</v>
      </c>
      <c r="I94" s="37" t="s">
        <v>53</v>
      </c>
      <c r="J94" s="37" t="s">
        <v>53</v>
      </c>
      <c r="K94" s="37" t="s">
        <v>53</v>
      </c>
      <c r="L94" s="37" t="s">
        <v>53</v>
      </c>
      <c r="M94" s="37" t="s">
        <v>53</v>
      </c>
      <c r="N94" s="37" t="s">
        <v>53</v>
      </c>
      <c r="O94" s="37" t="s">
        <v>53</v>
      </c>
      <c r="P94" s="27" t="str">
        <f t="shared" ref="P94:P104" si="18">HYPERLINK("http://www.spark-marketing.ru/Participants/CardMain?id=232549", "Управление Россельхознадзора по Краснодарскому краю и Республике Адыгея")</f>
        <v>Управление Россельхознадзора по Краснодарскому краю и Республике Адыгея</v>
      </c>
      <c r="Q94" s="28" t="s">
        <v>209</v>
      </c>
      <c r="R94" s="44">
        <v>719620.49</v>
      </c>
      <c r="S94" s="29" t="s">
        <v>210</v>
      </c>
      <c r="T94" s="27" t="str">
        <f t="shared" ref="T94:T104" si="19">HYPERLINK("http://www.spark-marketing.ru/Purchases/CardMain?packId=210076340", "Приобретение компьютерного оборудования")</f>
        <v>Приобретение компьютерного оборудования</v>
      </c>
      <c r="U94" s="31">
        <v>41912.907476851899</v>
      </c>
      <c r="V94" s="27" t="s">
        <v>53</v>
      </c>
      <c r="W94" s="28" t="s">
        <v>53</v>
      </c>
      <c r="X94" s="29" t="s">
        <v>53</v>
      </c>
      <c r="Y94" s="44" t="s">
        <v>53</v>
      </c>
      <c r="Z94" s="45" t="s">
        <v>53</v>
      </c>
      <c r="AA94" s="30" t="s">
        <v>56</v>
      </c>
      <c r="AB94" s="46">
        <v>10</v>
      </c>
      <c r="AC94" s="30" t="s">
        <v>60</v>
      </c>
      <c r="AD94" s="29" t="s">
        <v>211</v>
      </c>
      <c r="AE94" s="44">
        <v>548844.5</v>
      </c>
      <c r="AF94" s="29" t="s">
        <v>212</v>
      </c>
      <c r="AG94" s="36" t="s">
        <v>213</v>
      </c>
      <c r="AH94" s="32" t="str">
        <f t="shared" ref="AH94:AH104" si="20">HYPERLINK("http://zakupki.gov.ru/epz/order/notice/ea44/view/common-info.html?regNumber=0318100017214000067", "ссылка")</f>
        <v>ссылка</v>
      </c>
    </row>
    <row r="95" spans="2:34" outlineLevel="1" x14ac:dyDescent="0.15">
      <c r="B95" s="34">
        <v>2</v>
      </c>
      <c r="C95" s="43" t="s">
        <v>110</v>
      </c>
      <c r="D95" s="35" t="s">
        <v>53</v>
      </c>
      <c r="E95" s="37" t="s">
        <v>53</v>
      </c>
      <c r="F95" s="37" t="s">
        <v>54</v>
      </c>
      <c r="G95" s="37" t="s">
        <v>54</v>
      </c>
      <c r="H95" s="37" t="s">
        <v>53</v>
      </c>
      <c r="I95" s="37" t="s">
        <v>53</v>
      </c>
      <c r="J95" s="37" t="s">
        <v>53</v>
      </c>
      <c r="K95" s="37" t="s">
        <v>53</v>
      </c>
      <c r="L95" s="37" t="s">
        <v>53</v>
      </c>
      <c r="M95" s="37" t="s">
        <v>53</v>
      </c>
      <c r="N95" s="37" t="s">
        <v>53</v>
      </c>
      <c r="O95" s="37" t="s">
        <v>53</v>
      </c>
      <c r="P95" s="27" t="str">
        <f t="shared" si="18"/>
        <v>Управление Россельхознадзора по Краснодарскому краю и Республике Адыгея</v>
      </c>
      <c r="Q95" s="28" t="s">
        <v>209</v>
      </c>
      <c r="R95" s="44">
        <v>719620.49</v>
      </c>
      <c r="S95" s="29" t="s">
        <v>210</v>
      </c>
      <c r="T95" s="27" t="str">
        <f t="shared" si="19"/>
        <v>Приобретение компьютерного оборудования</v>
      </c>
      <c r="U95" s="31">
        <v>41912.907476851899</v>
      </c>
      <c r="V95" s="27" t="str">
        <f>HYPERLINK("http://www.spark-marketing.ru/Participants/CardMain?id=3387903", "ООО ""ТИРИОН""")</f>
        <v>ООО "ТИРИОН"</v>
      </c>
      <c r="W95" s="28" t="s">
        <v>213</v>
      </c>
      <c r="X95" s="29" t="s">
        <v>12</v>
      </c>
      <c r="Y95" s="44">
        <v>487953</v>
      </c>
      <c r="Z95" s="45">
        <v>0.3219300912346173</v>
      </c>
      <c r="AA95" s="30" t="s">
        <v>56</v>
      </c>
      <c r="AB95" s="46">
        <v>10</v>
      </c>
      <c r="AC95" s="30" t="s">
        <v>60</v>
      </c>
      <c r="AD95" s="29" t="s">
        <v>53</v>
      </c>
      <c r="AE95" s="44" t="s">
        <v>53</v>
      </c>
      <c r="AF95" s="29" t="s">
        <v>53</v>
      </c>
      <c r="AG95" s="36" t="s">
        <v>53</v>
      </c>
      <c r="AH95" s="32" t="str">
        <f t="shared" si="20"/>
        <v>ссылка</v>
      </c>
    </row>
    <row r="96" spans="2:34" outlineLevel="1" x14ac:dyDescent="0.15">
      <c r="B96" s="34">
        <v>2</v>
      </c>
      <c r="C96" s="43" t="s">
        <v>110</v>
      </c>
      <c r="D96" s="35" t="s">
        <v>53</v>
      </c>
      <c r="E96" s="37" t="s">
        <v>53</v>
      </c>
      <c r="F96" s="37" t="s">
        <v>54</v>
      </c>
      <c r="G96" s="37" t="s">
        <v>54</v>
      </c>
      <c r="H96" s="37" t="s">
        <v>53</v>
      </c>
      <c r="I96" s="37" t="s">
        <v>53</v>
      </c>
      <c r="J96" s="37" t="s">
        <v>53</v>
      </c>
      <c r="K96" s="37" t="s">
        <v>53</v>
      </c>
      <c r="L96" s="37" t="s">
        <v>53</v>
      </c>
      <c r="M96" s="37" t="s">
        <v>53</v>
      </c>
      <c r="N96" s="37" t="s">
        <v>53</v>
      </c>
      <c r="O96" s="37" t="s">
        <v>53</v>
      </c>
      <c r="P96" s="27" t="str">
        <f t="shared" si="18"/>
        <v>Управление Россельхознадзора по Краснодарскому краю и Республике Адыгея</v>
      </c>
      <c r="Q96" s="28" t="s">
        <v>209</v>
      </c>
      <c r="R96" s="44">
        <v>719620.49</v>
      </c>
      <c r="S96" s="29" t="s">
        <v>210</v>
      </c>
      <c r="T96" s="27" t="str">
        <f t="shared" si="19"/>
        <v>Приобретение компьютерного оборудования</v>
      </c>
      <c r="U96" s="31">
        <v>41912.907476851899</v>
      </c>
      <c r="V96" s="27" t="str">
        <f>HYPERLINK("http://www.spark-marketing.ru/Participants/CardMain?id=499354", "Грива Андрей Владимирович")</f>
        <v>Грива Андрей Владимирович</v>
      </c>
      <c r="W96" s="28" t="s">
        <v>214</v>
      </c>
      <c r="X96" s="29" t="s">
        <v>53</v>
      </c>
      <c r="Y96" s="44">
        <v>491551.9</v>
      </c>
      <c r="Z96" s="45">
        <v>0.31692898294210603</v>
      </c>
      <c r="AA96" s="30" t="s">
        <v>56</v>
      </c>
      <c r="AB96" s="46">
        <v>10</v>
      </c>
      <c r="AC96" s="30" t="s">
        <v>60</v>
      </c>
      <c r="AD96" s="29" t="s">
        <v>53</v>
      </c>
      <c r="AE96" s="44" t="s">
        <v>53</v>
      </c>
      <c r="AF96" s="29" t="s">
        <v>53</v>
      </c>
      <c r="AG96" s="36" t="s">
        <v>53</v>
      </c>
      <c r="AH96" s="32" t="str">
        <f t="shared" si="20"/>
        <v>ссылка</v>
      </c>
    </row>
    <row r="97" spans="2:74" x14ac:dyDescent="0.15">
      <c r="B97" s="34">
        <v>2</v>
      </c>
      <c r="C97" s="43" t="s">
        <v>110</v>
      </c>
      <c r="D97" s="35" t="s">
        <v>53</v>
      </c>
      <c r="E97" s="37" t="s">
        <v>53</v>
      </c>
      <c r="F97" s="37" t="s">
        <v>54</v>
      </c>
      <c r="G97" s="37" t="s">
        <v>54</v>
      </c>
      <c r="H97" s="37" t="s">
        <v>53</v>
      </c>
      <c r="I97" s="37" t="s">
        <v>53</v>
      </c>
      <c r="J97" s="37" t="s">
        <v>53</v>
      </c>
      <c r="K97" s="37" t="s">
        <v>53</v>
      </c>
      <c r="L97" s="37" t="s">
        <v>53</v>
      </c>
      <c r="M97" s="37" t="s">
        <v>53</v>
      </c>
      <c r="N97" s="37" t="s">
        <v>53</v>
      </c>
      <c r="O97" s="37" t="s">
        <v>53</v>
      </c>
      <c r="P97" s="27" t="str">
        <f t="shared" si="18"/>
        <v>Управление Россельхознадзора по Краснодарскому краю и Республике Адыгея</v>
      </c>
      <c r="Q97" s="28" t="s">
        <v>209</v>
      </c>
      <c r="R97" s="44">
        <v>719620.49</v>
      </c>
      <c r="S97" s="29" t="s">
        <v>210</v>
      </c>
      <c r="T97" s="27" t="str">
        <f t="shared" si="19"/>
        <v>Приобретение компьютерного оборудования</v>
      </c>
      <c r="U97" s="31">
        <v>41912.907476851899</v>
      </c>
      <c r="V97" s="27" t="str">
        <f>HYPERLINK("http://www.spark-marketing.ru/Participants/CardMain?id=250133", "ООО ""ГАЛАТ""")</f>
        <v>ООО "ГАЛАТ"</v>
      </c>
      <c r="W97" s="28" t="s">
        <v>215</v>
      </c>
      <c r="X97" s="29" t="s">
        <v>53</v>
      </c>
      <c r="Y97" s="44">
        <v>498749</v>
      </c>
      <c r="Z97" s="45">
        <v>0.30692773909203169</v>
      </c>
      <c r="AA97" s="30" t="s">
        <v>56</v>
      </c>
      <c r="AB97" s="46">
        <v>10</v>
      </c>
      <c r="AC97" s="30" t="s">
        <v>60</v>
      </c>
      <c r="AD97" s="29" t="s">
        <v>53</v>
      </c>
      <c r="AE97" s="44" t="s">
        <v>53</v>
      </c>
      <c r="AF97" s="29" t="s">
        <v>53</v>
      </c>
      <c r="AG97" s="36" t="s">
        <v>53</v>
      </c>
      <c r="AH97" s="32" t="str">
        <f t="shared" si="20"/>
        <v>ссылка</v>
      </c>
    </row>
    <row r="98" spans="2:74" outlineLevel="1" x14ac:dyDescent="0.15">
      <c r="B98" s="34">
        <v>2</v>
      </c>
      <c r="C98" s="43" t="s">
        <v>110</v>
      </c>
      <c r="D98" s="35" t="s">
        <v>53</v>
      </c>
      <c r="E98" s="37" t="s">
        <v>53</v>
      </c>
      <c r="F98" s="37" t="s">
        <v>54</v>
      </c>
      <c r="G98" s="37" t="s">
        <v>54</v>
      </c>
      <c r="H98" s="37" t="s">
        <v>53</v>
      </c>
      <c r="I98" s="37" t="s">
        <v>53</v>
      </c>
      <c r="J98" s="37" t="s">
        <v>53</v>
      </c>
      <c r="K98" s="37" t="s">
        <v>53</v>
      </c>
      <c r="L98" s="37" t="s">
        <v>53</v>
      </c>
      <c r="M98" s="37" t="s">
        <v>53</v>
      </c>
      <c r="N98" s="37" t="s">
        <v>53</v>
      </c>
      <c r="O98" s="37" t="s">
        <v>53</v>
      </c>
      <c r="P98" s="27" t="str">
        <f t="shared" si="18"/>
        <v>Управление Россельхознадзора по Краснодарскому краю и Республике Адыгея</v>
      </c>
      <c r="Q98" s="28" t="s">
        <v>209</v>
      </c>
      <c r="R98" s="44">
        <v>719620.49</v>
      </c>
      <c r="S98" s="29" t="s">
        <v>210</v>
      </c>
      <c r="T98" s="27" t="str">
        <f t="shared" si="19"/>
        <v>Приобретение компьютерного оборудования</v>
      </c>
      <c r="U98" s="31">
        <v>41912.907476851899</v>
      </c>
      <c r="V98" s="27" t="str">
        <f>HYPERLINK("http://www.spark-marketing.ru/Participants/CardMain?id=1173531", "ООО ""Проект Интегро""")</f>
        <v>ООО "Проект Интегро"</v>
      </c>
      <c r="W98" s="28" t="s">
        <v>216</v>
      </c>
      <c r="X98" s="29" t="s">
        <v>53</v>
      </c>
      <c r="Y98" s="44">
        <v>521632</v>
      </c>
      <c r="Z98" s="45">
        <v>0.27512903363827229</v>
      </c>
      <c r="AA98" s="30" t="s">
        <v>56</v>
      </c>
      <c r="AB98" s="46">
        <v>10</v>
      </c>
      <c r="AC98" s="30" t="s">
        <v>60</v>
      </c>
      <c r="AD98" s="29" t="s">
        <v>53</v>
      </c>
      <c r="AE98" s="44" t="s">
        <v>53</v>
      </c>
      <c r="AF98" s="29" t="s">
        <v>53</v>
      </c>
      <c r="AG98" s="36" t="s">
        <v>53</v>
      </c>
      <c r="AH98" s="32" t="str">
        <f t="shared" si="20"/>
        <v>ссылка</v>
      </c>
    </row>
    <row r="99" spans="2:74" outlineLevel="1" x14ac:dyDescent="0.15">
      <c r="B99" s="34">
        <v>2</v>
      </c>
      <c r="C99" s="43" t="s">
        <v>110</v>
      </c>
      <c r="D99" s="35" t="s">
        <v>53</v>
      </c>
      <c r="E99" s="37" t="s">
        <v>53</v>
      </c>
      <c r="F99" s="37" t="s">
        <v>54</v>
      </c>
      <c r="G99" s="37" t="s">
        <v>54</v>
      </c>
      <c r="H99" s="37" t="s">
        <v>53</v>
      </c>
      <c r="I99" s="37" t="s">
        <v>53</v>
      </c>
      <c r="J99" s="37" t="s">
        <v>53</v>
      </c>
      <c r="K99" s="37" t="s">
        <v>53</v>
      </c>
      <c r="L99" s="37" t="s">
        <v>53</v>
      </c>
      <c r="M99" s="37" t="s">
        <v>53</v>
      </c>
      <c r="N99" s="37" t="s">
        <v>53</v>
      </c>
      <c r="O99" s="37" t="s">
        <v>53</v>
      </c>
      <c r="P99" s="27" t="str">
        <f t="shared" si="18"/>
        <v>Управление Россельхознадзора по Краснодарскому краю и Республике Адыгея</v>
      </c>
      <c r="Q99" s="28" t="s">
        <v>209</v>
      </c>
      <c r="R99" s="44">
        <v>719620.49</v>
      </c>
      <c r="S99" s="29" t="s">
        <v>210</v>
      </c>
      <c r="T99" s="27" t="str">
        <f t="shared" si="19"/>
        <v>Приобретение компьютерного оборудования</v>
      </c>
      <c r="U99" s="31">
        <v>41912.907476851899</v>
      </c>
      <c r="V99" s="27" t="str">
        <f>HYPERLINK("http://www.spark-marketing.ru/Participants/CardMain?id=1260", "ООО ""Талант""")</f>
        <v>ООО "Талант"</v>
      </c>
      <c r="W99" s="28" t="s">
        <v>217</v>
      </c>
      <c r="X99" s="29" t="s">
        <v>53</v>
      </c>
      <c r="Y99" s="44">
        <v>521632</v>
      </c>
      <c r="Z99" s="45">
        <v>0.27512903363827229</v>
      </c>
      <c r="AA99" s="30" t="s">
        <v>56</v>
      </c>
      <c r="AB99" s="46">
        <v>10</v>
      </c>
      <c r="AC99" s="30" t="s">
        <v>60</v>
      </c>
      <c r="AD99" s="29" t="s">
        <v>53</v>
      </c>
      <c r="AE99" s="44" t="s">
        <v>53</v>
      </c>
      <c r="AF99" s="29" t="s">
        <v>53</v>
      </c>
      <c r="AG99" s="36" t="s">
        <v>53</v>
      </c>
      <c r="AH99" s="32" t="str">
        <f t="shared" si="20"/>
        <v>ссылка</v>
      </c>
    </row>
    <row r="100" spans="2:74" outlineLevel="1" x14ac:dyDescent="0.15">
      <c r="B100" s="34">
        <v>2</v>
      </c>
      <c r="C100" s="43" t="s">
        <v>110</v>
      </c>
      <c r="D100" s="35" t="s">
        <v>53</v>
      </c>
      <c r="E100" s="37" t="s">
        <v>53</v>
      </c>
      <c r="F100" s="37" t="s">
        <v>54</v>
      </c>
      <c r="G100" s="37" t="s">
        <v>54</v>
      </c>
      <c r="H100" s="37" t="s">
        <v>53</v>
      </c>
      <c r="I100" s="37" t="s">
        <v>53</v>
      </c>
      <c r="J100" s="37" t="s">
        <v>53</v>
      </c>
      <c r="K100" s="37" t="s">
        <v>53</v>
      </c>
      <c r="L100" s="37" t="s">
        <v>53</v>
      </c>
      <c r="M100" s="37" t="s">
        <v>53</v>
      </c>
      <c r="N100" s="37" t="s">
        <v>53</v>
      </c>
      <c r="O100" s="37" t="s">
        <v>53</v>
      </c>
      <c r="P100" s="27" t="str">
        <f t="shared" si="18"/>
        <v>Управление Россельхознадзора по Краснодарскому краю и Республике Адыгея</v>
      </c>
      <c r="Q100" s="28" t="s">
        <v>209</v>
      </c>
      <c r="R100" s="44">
        <v>719620.49</v>
      </c>
      <c r="S100" s="29" t="s">
        <v>210</v>
      </c>
      <c r="T100" s="27" t="str">
        <f t="shared" si="19"/>
        <v>Приобретение компьютерного оборудования</v>
      </c>
      <c r="U100" s="31">
        <v>41912.907476851899</v>
      </c>
      <c r="V100" s="27" t="str">
        <f>HYPERLINK("http://www.spark-marketing.ru/Participants/CardMain?id=638", "ООО ВЛАДОС")</f>
        <v>ООО ВЛАДОС</v>
      </c>
      <c r="W100" s="28" t="s">
        <v>218</v>
      </c>
      <c r="X100" s="29" t="s">
        <v>53</v>
      </c>
      <c r="Y100" s="44">
        <v>557617.1</v>
      </c>
      <c r="Z100" s="45">
        <v>0.22512337023644227</v>
      </c>
      <c r="AA100" s="30" t="s">
        <v>56</v>
      </c>
      <c r="AB100" s="46">
        <v>10</v>
      </c>
      <c r="AC100" s="30" t="s">
        <v>60</v>
      </c>
      <c r="AD100" s="29" t="s">
        <v>53</v>
      </c>
      <c r="AE100" s="44" t="s">
        <v>53</v>
      </c>
      <c r="AF100" s="29" t="s">
        <v>53</v>
      </c>
      <c r="AG100" s="36" t="s">
        <v>53</v>
      </c>
      <c r="AH100" s="32" t="str">
        <f t="shared" si="20"/>
        <v>ссылка</v>
      </c>
    </row>
    <row r="101" spans="2:74" outlineLevel="1" x14ac:dyDescent="0.15">
      <c r="B101" s="34">
        <v>2</v>
      </c>
      <c r="C101" s="43" t="s">
        <v>110</v>
      </c>
      <c r="D101" s="35" t="s">
        <v>53</v>
      </c>
      <c r="E101" s="37" t="s">
        <v>53</v>
      </c>
      <c r="F101" s="37" t="s">
        <v>54</v>
      </c>
      <c r="G101" s="37" t="s">
        <v>54</v>
      </c>
      <c r="H101" s="37" t="s">
        <v>53</v>
      </c>
      <c r="I101" s="37" t="s">
        <v>53</v>
      </c>
      <c r="J101" s="37" t="s">
        <v>53</v>
      </c>
      <c r="K101" s="37" t="s">
        <v>53</v>
      </c>
      <c r="L101" s="37" t="s">
        <v>53</v>
      </c>
      <c r="M101" s="37" t="s">
        <v>53</v>
      </c>
      <c r="N101" s="37" t="s">
        <v>53</v>
      </c>
      <c r="O101" s="37" t="s">
        <v>53</v>
      </c>
      <c r="P101" s="27" t="str">
        <f t="shared" si="18"/>
        <v>Управление Россельхознадзора по Краснодарскому краю и Республике Адыгея</v>
      </c>
      <c r="Q101" s="28" t="s">
        <v>209</v>
      </c>
      <c r="R101" s="44">
        <v>719620.49</v>
      </c>
      <c r="S101" s="29" t="s">
        <v>210</v>
      </c>
      <c r="T101" s="27" t="str">
        <f t="shared" si="19"/>
        <v>Приобретение компьютерного оборудования</v>
      </c>
      <c r="U101" s="31">
        <v>41912.907476851899</v>
      </c>
      <c r="V101" s="27" t="str">
        <f>HYPERLINK("http://www.spark-marketing.ru/Participants/CardMain?id=2651028", "ИП Лисица Ратмир Владимирович")</f>
        <v>ИП Лисица Ратмир Владимирович</v>
      </c>
      <c r="W101" s="28" t="s">
        <v>219</v>
      </c>
      <c r="X101" s="29" t="s">
        <v>53</v>
      </c>
      <c r="Y101" s="44">
        <v>579205.69999999995</v>
      </c>
      <c r="Z101" s="45">
        <v>0.19512339066387618</v>
      </c>
      <c r="AA101" s="30" t="s">
        <v>56</v>
      </c>
      <c r="AB101" s="46">
        <v>10</v>
      </c>
      <c r="AC101" s="30" t="s">
        <v>60</v>
      </c>
      <c r="AD101" s="29" t="s">
        <v>53</v>
      </c>
      <c r="AE101" s="44" t="s">
        <v>53</v>
      </c>
      <c r="AF101" s="29" t="s">
        <v>53</v>
      </c>
      <c r="AG101" s="36" t="s">
        <v>53</v>
      </c>
      <c r="AH101" s="32" t="str">
        <f t="shared" si="20"/>
        <v>ссылка</v>
      </c>
    </row>
    <row r="102" spans="2:74" outlineLevel="1" x14ac:dyDescent="0.15">
      <c r="B102" s="34">
        <v>2</v>
      </c>
      <c r="C102" s="43" t="s">
        <v>110</v>
      </c>
      <c r="D102" s="35" t="s">
        <v>53</v>
      </c>
      <c r="E102" s="37" t="s">
        <v>53</v>
      </c>
      <c r="F102" s="37" t="s">
        <v>54</v>
      </c>
      <c r="G102" s="37" t="s">
        <v>54</v>
      </c>
      <c r="H102" s="37" t="s">
        <v>53</v>
      </c>
      <c r="I102" s="37" t="s">
        <v>53</v>
      </c>
      <c r="J102" s="37" t="s">
        <v>53</v>
      </c>
      <c r="K102" s="37" t="s">
        <v>53</v>
      </c>
      <c r="L102" s="37" t="s">
        <v>53</v>
      </c>
      <c r="M102" s="37" t="s">
        <v>53</v>
      </c>
      <c r="N102" s="37" t="s">
        <v>53</v>
      </c>
      <c r="O102" s="37" t="s">
        <v>53</v>
      </c>
      <c r="P102" s="27" t="str">
        <f t="shared" si="18"/>
        <v>Управление Россельхознадзора по Краснодарскому краю и Республике Адыгея</v>
      </c>
      <c r="Q102" s="28" t="s">
        <v>209</v>
      </c>
      <c r="R102" s="44">
        <v>719620.49</v>
      </c>
      <c r="S102" s="29" t="s">
        <v>210</v>
      </c>
      <c r="T102" s="27" t="str">
        <f t="shared" si="19"/>
        <v>Приобретение компьютерного оборудования</v>
      </c>
      <c r="U102" s="31">
        <v>41912.907476851899</v>
      </c>
      <c r="V102" s="27" t="str">
        <f>HYPERLINK("http://www.spark-marketing.ru/Participants/CardMain?id=231736", "ООО ""ВЕСТЕЛ-ЮГ""")</f>
        <v>ООО "ВЕСТЕЛ-ЮГ"</v>
      </c>
      <c r="W102" s="28" t="s">
        <v>220</v>
      </c>
      <c r="X102" s="29" t="s">
        <v>53</v>
      </c>
      <c r="Y102" s="44">
        <v>608078.68000000005</v>
      </c>
      <c r="Z102" s="45">
        <v>0.15500088108941978</v>
      </c>
      <c r="AA102" s="30" t="s">
        <v>56</v>
      </c>
      <c r="AB102" s="46">
        <v>10</v>
      </c>
      <c r="AC102" s="30" t="s">
        <v>60</v>
      </c>
      <c r="AD102" s="29" t="s">
        <v>53</v>
      </c>
      <c r="AE102" s="44" t="s">
        <v>53</v>
      </c>
      <c r="AF102" s="29" t="s">
        <v>53</v>
      </c>
      <c r="AG102" s="36" t="s">
        <v>53</v>
      </c>
      <c r="AH102" s="32" t="str">
        <f t="shared" si="20"/>
        <v>ссылка</v>
      </c>
    </row>
    <row r="103" spans="2:74" outlineLevel="1" x14ac:dyDescent="0.15">
      <c r="B103" s="34">
        <v>2</v>
      </c>
      <c r="C103" s="43" t="s">
        <v>110</v>
      </c>
      <c r="D103" s="35" t="s">
        <v>53</v>
      </c>
      <c r="E103" s="37" t="s">
        <v>53</v>
      </c>
      <c r="F103" s="37" t="s">
        <v>54</v>
      </c>
      <c r="G103" s="37" t="s">
        <v>54</v>
      </c>
      <c r="H103" s="37" t="s">
        <v>53</v>
      </c>
      <c r="I103" s="37" t="s">
        <v>53</v>
      </c>
      <c r="J103" s="37" t="s">
        <v>53</v>
      </c>
      <c r="K103" s="37" t="s">
        <v>53</v>
      </c>
      <c r="L103" s="37" t="s">
        <v>53</v>
      </c>
      <c r="M103" s="37" t="s">
        <v>53</v>
      </c>
      <c r="N103" s="37" t="s">
        <v>53</v>
      </c>
      <c r="O103" s="37" t="s">
        <v>53</v>
      </c>
      <c r="P103" s="27" t="str">
        <f t="shared" si="18"/>
        <v>Управление Россельхознадзора по Краснодарскому краю и Республике Адыгея</v>
      </c>
      <c r="Q103" s="28" t="s">
        <v>209</v>
      </c>
      <c r="R103" s="44">
        <v>719620.49</v>
      </c>
      <c r="S103" s="29" t="s">
        <v>210</v>
      </c>
      <c r="T103" s="27" t="str">
        <f t="shared" si="19"/>
        <v>Приобретение компьютерного оборудования</v>
      </c>
      <c r="U103" s="31">
        <v>41912.907476851899</v>
      </c>
      <c r="V103" s="27" t="str">
        <f>HYPERLINK("http://www.spark-marketing.ru/Participants/CardMain?id=943664", "ООО ""Пробизнес""")</f>
        <v>ООО "Пробизнес"</v>
      </c>
      <c r="W103" s="28" t="s">
        <v>221</v>
      </c>
      <c r="X103" s="29" t="s">
        <v>53</v>
      </c>
      <c r="Y103" s="44">
        <v>644059</v>
      </c>
      <c r="Z103" s="45">
        <v>0.10500186007766399</v>
      </c>
      <c r="AA103" s="30" t="s">
        <v>56</v>
      </c>
      <c r="AB103" s="46">
        <v>10</v>
      </c>
      <c r="AC103" s="30" t="s">
        <v>60</v>
      </c>
      <c r="AD103" s="29" t="s">
        <v>53</v>
      </c>
      <c r="AE103" s="44" t="s">
        <v>53</v>
      </c>
      <c r="AF103" s="29" t="s">
        <v>53</v>
      </c>
      <c r="AG103" s="36" t="s">
        <v>53</v>
      </c>
      <c r="AH103" s="32" t="str">
        <f t="shared" si="20"/>
        <v>ссылка</v>
      </c>
    </row>
    <row r="104" spans="2:74" outlineLevel="1" x14ac:dyDescent="0.15">
      <c r="B104" s="34">
        <v>2</v>
      </c>
      <c r="C104" s="43" t="s">
        <v>110</v>
      </c>
      <c r="D104" s="35" t="s">
        <v>53</v>
      </c>
      <c r="E104" s="37" t="s">
        <v>53</v>
      </c>
      <c r="F104" s="37" t="s">
        <v>54</v>
      </c>
      <c r="G104" s="37" t="s">
        <v>54</v>
      </c>
      <c r="H104" s="37" t="s">
        <v>53</v>
      </c>
      <c r="I104" s="37" t="s">
        <v>53</v>
      </c>
      <c r="J104" s="37" t="s">
        <v>53</v>
      </c>
      <c r="K104" s="37" t="s">
        <v>53</v>
      </c>
      <c r="L104" s="37" t="s">
        <v>53</v>
      </c>
      <c r="M104" s="37" t="s">
        <v>53</v>
      </c>
      <c r="N104" s="37" t="s">
        <v>53</v>
      </c>
      <c r="O104" s="37" t="s">
        <v>53</v>
      </c>
      <c r="P104" s="27" t="str">
        <f t="shared" si="18"/>
        <v>Управление Россельхознадзора по Краснодарскому краю и Республике Адыгея</v>
      </c>
      <c r="Q104" s="28" t="s">
        <v>209</v>
      </c>
      <c r="R104" s="44">
        <v>719620.49</v>
      </c>
      <c r="S104" s="29" t="s">
        <v>210</v>
      </c>
      <c r="T104" s="27" t="str">
        <f t="shared" si="19"/>
        <v>Приобретение компьютерного оборудования</v>
      </c>
      <c r="U104" s="31">
        <v>41912.907476851899</v>
      </c>
      <c r="V104" s="27" t="str">
        <f>HYPERLINK("http://www.spark-marketing.ru/Participants/CardMain?id=239198", "ООО ""ТСС""")</f>
        <v>ООО "ТСС"</v>
      </c>
      <c r="W104" s="28" t="s">
        <v>222</v>
      </c>
      <c r="X104" s="29" t="s">
        <v>53</v>
      </c>
      <c r="Y104" s="44">
        <v>712424.29</v>
      </c>
      <c r="Z104" s="45">
        <v>9.9999931908553632E-3</v>
      </c>
      <c r="AA104" s="30" t="s">
        <v>56</v>
      </c>
      <c r="AB104" s="46">
        <v>10</v>
      </c>
      <c r="AC104" s="30" t="s">
        <v>60</v>
      </c>
      <c r="AD104" s="29" t="s">
        <v>53</v>
      </c>
      <c r="AE104" s="44" t="s">
        <v>53</v>
      </c>
      <c r="AF104" s="29" t="s">
        <v>53</v>
      </c>
      <c r="AG104" s="36" t="s">
        <v>53</v>
      </c>
      <c r="AH104" s="32" t="str">
        <f t="shared" si="20"/>
        <v>ссылка</v>
      </c>
    </row>
    <row r="105" spans="2:74" outlineLevel="1" x14ac:dyDescent="0.15">
      <c r="B105" s="34">
        <v>1</v>
      </c>
      <c r="C105" s="43" t="s">
        <v>110</v>
      </c>
      <c r="D105" s="35" t="s">
        <v>53</v>
      </c>
      <c r="E105" s="37" t="s">
        <v>53</v>
      </c>
      <c r="F105" s="37" t="s">
        <v>54</v>
      </c>
      <c r="G105" s="37" t="s">
        <v>54</v>
      </c>
      <c r="H105" s="37" t="s">
        <v>53</v>
      </c>
      <c r="I105" s="37" t="s">
        <v>53</v>
      </c>
      <c r="J105" s="37" t="s">
        <v>53</v>
      </c>
      <c r="K105" s="37" t="s">
        <v>53</v>
      </c>
      <c r="L105" s="37" t="s">
        <v>53</v>
      </c>
      <c r="M105" s="37" t="s">
        <v>53</v>
      </c>
      <c r="N105" s="37" t="s">
        <v>53</v>
      </c>
      <c r="O105" s="37" t="s">
        <v>53</v>
      </c>
      <c r="P105" s="27" t="str">
        <f>HYPERLINK("http://www.spark-marketing.ru/Participants/CardMain?id=128621", "УФК по Ивановской области")</f>
        <v>УФК по Ивановской области</v>
      </c>
      <c r="Q105" s="28" t="s">
        <v>223</v>
      </c>
      <c r="R105" s="44">
        <v>39843.33</v>
      </c>
      <c r="S105" s="29" t="s">
        <v>224</v>
      </c>
      <c r="T105" s="27" t="str">
        <f>HYPERLINK("http://www.spark-marketing.ru/Purchases/CardMain?packId=212969828", "Поставка (приобретение) расходных материалов к оргтехнике  для обеспечения нужд Управления Федерального казначейства по Ивановской области")</f>
        <v>Поставка (приобретение) расходных материалов к оргтехнике  для обеспечения нужд Управления Федерального казначейства по Ивановской области</v>
      </c>
      <c r="U105" s="31">
        <v>41912.923344907402</v>
      </c>
      <c r="V105" s="27" t="s">
        <v>53</v>
      </c>
      <c r="W105" s="28" t="s">
        <v>53</v>
      </c>
      <c r="X105" s="29" t="s">
        <v>53</v>
      </c>
      <c r="Y105" s="44" t="s">
        <v>53</v>
      </c>
      <c r="Z105" s="45" t="s">
        <v>53</v>
      </c>
      <c r="AA105" s="30" t="s">
        <v>56</v>
      </c>
      <c r="AB105" s="46">
        <v>3</v>
      </c>
      <c r="AC105" s="30" t="s">
        <v>61</v>
      </c>
      <c r="AD105" s="29" t="s">
        <v>225</v>
      </c>
      <c r="AE105" s="44">
        <v>39218.370000000003</v>
      </c>
      <c r="AF105" s="29" t="s">
        <v>226</v>
      </c>
      <c r="AG105" s="36" t="s">
        <v>227</v>
      </c>
      <c r="AH105" s="32" t="str">
        <f>HYPERLINK("http://zakupki.gov.ru/epz/order/notice/ea44/view/common-info.html?regNumber=0133100000214000129", "ссылка")</f>
        <v>ссылка</v>
      </c>
    </row>
    <row r="106" spans="2:74" outlineLevel="1" x14ac:dyDescent="0.15">
      <c r="B106" s="34">
        <v>2</v>
      </c>
      <c r="C106" s="43" t="s">
        <v>110</v>
      </c>
      <c r="D106" s="35" t="s">
        <v>53</v>
      </c>
      <c r="E106" s="37" t="s">
        <v>53</v>
      </c>
      <c r="F106" s="37" t="s">
        <v>54</v>
      </c>
      <c r="G106" s="37" t="s">
        <v>54</v>
      </c>
      <c r="H106" s="37" t="s">
        <v>53</v>
      </c>
      <c r="I106" s="37" t="s">
        <v>53</v>
      </c>
      <c r="J106" s="37" t="s">
        <v>53</v>
      </c>
      <c r="K106" s="37" t="s">
        <v>53</v>
      </c>
      <c r="L106" s="37" t="s">
        <v>53</v>
      </c>
      <c r="M106" s="37" t="s">
        <v>53</v>
      </c>
      <c r="N106" s="37" t="s">
        <v>53</v>
      </c>
      <c r="O106" s="37" t="s">
        <v>53</v>
      </c>
      <c r="P106" s="27" t="str">
        <f>HYPERLINK("http://www.spark-marketing.ru/Participants/CardMain?id=128621", "УФК по Ивановской области")</f>
        <v>УФК по Ивановской области</v>
      </c>
      <c r="Q106" s="28" t="s">
        <v>223</v>
      </c>
      <c r="R106" s="44">
        <v>39843.33</v>
      </c>
      <c r="S106" s="29" t="s">
        <v>224</v>
      </c>
      <c r="T106" s="27" t="str">
        <f>HYPERLINK("http://www.spark-marketing.ru/Purchases/CardMain?packId=212969828", "Поставка (приобретение) расходных материалов к оргтехнике  для обеспечения нужд Управления Федерального казначейства по Ивановской области")</f>
        <v>Поставка (приобретение) расходных материалов к оргтехнике  для обеспечения нужд Управления Федерального казначейства по Ивановской области</v>
      </c>
      <c r="U106" s="31">
        <v>41912.923344907402</v>
      </c>
      <c r="V106" s="27" t="str">
        <f>HYPERLINK("http://www.spark-marketing.ru/Participants/CardMain?id=285861", "ООО ""Атрибут""")</f>
        <v>ООО "Атрибут"</v>
      </c>
      <c r="W106" s="28" t="s">
        <v>227</v>
      </c>
      <c r="X106" s="29" t="s">
        <v>12</v>
      </c>
      <c r="Y106" s="44">
        <v>8525.7900000000009</v>
      </c>
      <c r="Z106" s="45">
        <v>0.7860171326041272</v>
      </c>
      <c r="AA106" s="30" t="s">
        <v>56</v>
      </c>
      <c r="AB106" s="46">
        <v>3</v>
      </c>
      <c r="AC106" s="30" t="s">
        <v>61</v>
      </c>
      <c r="AD106" s="29" t="s">
        <v>53</v>
      </c>
      <c r="AE106" s="44" t="s">
        <v>53</v>
      </c>
      <c r="AF106" s="29" t="s">
        <v>53</v>
      </c>
      <c r="AG106" s="36" t="s">
        <v>53</v>
      </c>
      <c r="AH106" s="32" t="str">
        <f>HYPERLINK("http://zakupki.gov.ru/epz/order/notice/ea44/view/common-info.html?regNumber=0133100000214000129", "ссылка")</f>
        <v>ссылка</v>
      </c>
    </row>
    <row r="107" spans="2:74" x14ac:dyDescent="0.15">
      <c r="B107" s="34">
        <v>2</v>
      </c>
      <c r="C107" s="43" t="s">
        <v>110</v>
      </c>
      <c r="D107" s="35" t="s">
        <v>53</v>
      </c>
      <c r="E107" s="37" t="s">
        <v>53</v>
      </c>
      <c r="F107" s="37" t="s">
        <v>54</v>
      </c>
      <c r="G107" s="37" t="s">
        <v>54</v>
      </c>
      <c r="H107" s="37" t="s">
        <v>53</v>
      </c>
      <c r="I107" s="37" t="s">
        <v>53</v>
      </c>
      <c r="J107" s="37" t="s">
        <v>53</v>
      </c>
      <c r="K107" s="37" t="s">
        <v>53</v>
      </c>
      <c r="L107" s="37" t="s">
        <v>53</v>
      </c>
      <c r="M107" s="37" t="s">
        <v>53</v>
      </c>
      <c r="N107" s="37" t="s">
        <v>53</v>
      </c>
      <c r="O107" s="37" t="s">
        <v>53</v>
      </c>
      <c r="P107" s="27" t="str">
        <f>HYPERLINK("http://www.spark-marketing.ru/Participants/CardMain?id=128621", "УФК по Ивановской области")</f>
        <v>УФК по Ивановской области</v>
      </c>
      <c r="Q107" s="28" t="s">
        <v>223</v>
      </c>
      <c r="R107" s="44">
        <v>39843.33</v>
      </c>
      <c r="S107" s="29" t="s">
        <v>224</v>
      </c>
      <c r="T107" s="27" t="str">
        <f>HYPERLINK("http://www.spark-marketing.ru/Purchases/CardMain?packId=212969828", "Поставка (приобретение) расходных материалов к оргтехнике  для обеспечения нужд Управления Федерального казначейства по Ивановской области")</f>
        <v>Поставка (приобретение) расходных материалов к оргтехнике  для обеспечения нужд Управления Федерального казначейства по Ивановской области</v>
      </c>
      <c r="U107" s="31">
        <v>41912.923344907402</v>
      </c>
      <c r="V107" s="27" t="str">
        <f>HYPERLINK("http://www.spark-marketing.ru/Participants/CardMain?id=3252914", "ОБЩЕСТВО С ОГРАНИЧЕННОЙ ОТВЕТСТВЕННОСТЬЮ ""РОТЕКС-КОМ""")</f>
        <v>ОБЩЕСТВО С ОГРАНИЧЕННОЙ ОТВЕТСТВЕННОСТЬЮ "РОТЕКС-КОМ"</v>
      </c>
      <c r="W107" s="28" t="s">
        <v>228</v>
      </c>
      <c r="X107" s="29" t="s">
        <v>53</v>
      </c>
      <c r="Y107" s="44">
        <v>8525.7900000000009</v>
      </c>
      <c r="Z107" s="45">
        <v>0.7860171326041272</v>
      </c>
      <c r="AA107" s="30" t="s">
        <v>56</v>
      </c>
      <c r="AB107" s="46">
        <v>3</v>
      </c>
      <c r="AC107" s="30" t="s">
        <v>61</v>
      </c>
      <c r="AD107" s="29" t="s">
        <v>53</v>
      </c>
      <c r="AE107" s="44" t="s">
        <v>53</v>
      </c>
      <c r="AF107" s="29" t="s">
        <v>53</v>
      </c>
      <c r="AG107" s="36" t="s">
        <v>53</v>
      </c>
      <c r="AH107" s="32" t="str">
        <f>HYPERLINK("http://zakupki.gov.ru/epz/order/notice/ea44/view/common-info.html?regNumber=0133100000214000129", "ссылка")</f>
        <v>ссылка</v>
      </c>
    </row>
    <row r="108" spans="2:74" x14ac:dyDescent="0.15">
      <c r="B108" s="34">
        <v>2</v>
      </c>
      <c r="C108" s="43" t="s">
        <v>110</v>
      </c>
      <c r="D108" s="35" t="s">
        <v>53</v>
      </c>
      <c r="E108" s="37" t="s">
        <v>53</v>
      </c>
      <c r="F108" s="37" t="s">
        <v>54</v>
      </c>
      <c r="G108" s="37" t="s">
        <v>54</v>
      </c>
      <c r="H108" s="37" t="s">
        <v>53</v>
      </c>
      <c r="I108" s="37" t="s">
        <v>53</v>
      </c>
      <c r="J108" s="37" t="s">
        <v>53</v>
      </c>
      <c r="K108" s="37" t="s">
        <v>53</v>
      </c>
      <c r="L108" s="37" t="s">
        <v>53</v>
      </c>
      <c r="M108" s="37" t="s">
        <v>53</v>
      </c>
      <c r="N108" s="37" t="s">
        <v>53</v>
      </c>
      <c r="O108" s="37" t="s">
        <v>53</v>
      </c>
      <c r="P108" s="27" t="str">
        <f>HYPERLINK("http://www.spark-marketing.ru/Participants/CardMain?id=128621", "УФК по Ивановской области")</f>
        <v>УФК по Ивановской области</v>
      </c>
      <c r="Q108" s="28" t="s">
        <v>223</v>
      </c>
      <c r="R108" s="44">
        <v>39843.33</v>
      </c>
      <c r="S108" s="29" t="s">
        <v>224</v>
      </c>
      <c r="T108" s="27" t="str">
        <f>HYPERLINK("http://www.spark-marketing.ru/Purchases/CardMain?packId=212969828", "Поставка (приобретение) расходных материалов к оргтехнике  для обеспечения нужд Управления Федерального казначейства по Ивановской области")</f>
        <v>Поставка (приобретение) расходных материалов к оргтехнике  для обеспечения нужд Управления Федерального казначейства по Ивановской области</v>
      </c>
      <c r="U108" s="31">
        <v>41912.923344907402</v>
      </c>
      <c r="V108" s="27" t="str">
        <f>HYPERLINK("http://www.spark-marketing.ru/Participants/CardMain?id=129477", "ООО ""Спецторг""")</f>
        <v>ООО "Спецторг"</v>
      </c>
      <c r="W108" s="28" t="s">
        <v>229</v>
      </c>
      <c r="X108" s="29" t="s">
        <v>53</v>
      </c>
      <c r="Y108" s="44">
        <v>10517.96</v>
      </c>
      <c r="Z108" s="45">
        <v>0.73601704476006402</v>
      </c>
      <c r="AA108" s="30" t="s">
        <v>56</v>
      </c>
      <c r="AB108" s="46">
        <v>3</v>
      </c>
      <c r="AC108" s="30" t="s">
        <v>61</v>
      </c>
      <c r="AD108" s="29" t="s">
        <v>53</v>
      </c>
      <c r="AE108" s="44" t="s">
        <v>53</v>
      </c>
      <c r="AF108" s="29" t="s">
        <v>53</v>
      </c>
      <c r="AG108" s="36" t="s">
        <v>53</v>
      </c>
      <c r="AH108" s="32" t="str">
        <f>HYPERLINK("http://zakupki.gov.ru/epz/order/notice/ea44/view/common-info.html?regNumber=0133100000214000129", "ссылка")</f>
        <v>ссылка</v>
      </c>
    </row>
    <row r="109" spans="2:74" ht="10.5" outlineLevel="1" x14ac:dyDescent="0.15">
      <c r="R109" s="21"/>
      <c r="T109" s="17"/>
      <c r="U109" s="18"/>
      <c r="V109" s="20"/>
      <c r="W109" s="19"/>
      <c r="Y109" s="22"/>
      <c r="Z109" s="23"/>
      <c r="AA109" s="17"/>
      <c r="AB109" s="17"/>
      <c r="AC109" s="17"/>
      <c r="AD109" s="19"/>
      <c r="AE109" s="22"/>
      <c r="AF109" s="25"/>
      <c r="AG109" s="19"/>
      <c r="AH109" s="17"/>
    </row>
    <row r="110" spans="2:74" ht="10.5" outlineLevel="1" x14ac:dyDescent="0.15">
      <c r="R110" s="21"/>
      <c r="U110" s="18"/>
      <c r="V110" s="20"/>
      <c r="W110" s="19"/>
      <c r="Y110" s="22"/>
      <c r="Z110" s="23"/>
      <c r="AA110" s="17"/>
      <c r="AB110" s="17"/>
      <c r="AC110" s="17"/>
      <c r="AD110" s="19"/>
      <c r="AE110" s="22"/>
      <c r="AF110" s="25"/>
      <c r="AG110" s="19"/>
      <c r="AH110" s="17"/>
    </row>
    <row r="111" spans="2:74" ht="10.5" outlineLevel="1" x14ac:dyDescent="0.15">
      <c r="V111" s="20"/>
      <c r="W111" s="19"/>
      <c r="Y111" s="22"/>
      <c r="Z111" s="24"/>
      <c r="AA111" s="17"/>
      <c r="AB111" s="17"/>
      <c r="AC111" s="17"/>
      <c r="AD111" s="19"/>
      <c r="AE111" s="22"/>
      <c r="AF111" s="25"/>
      <c r="AG111" s="19"/>
      <c r="AH111" s="17"/>
    </row>
    <row r="112" spans="2:74" ht="90" customHeight="1" x14ac:dyDescent="0.15"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35:74" ht="90" customHeight="1" x14ac:dyDescent="0.15"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</sheetData>
  <autoFilter ref="B2:AH2"/>
  <mergeCells count="10">
    <mergeCell ref="B1:B2"/>
    <mergeCell ref="P1:R1"/>
    <mergeCell ref="C1:O1"/>
    <mergeCell ref="AH1:AH2"/>
    <mergeCell ref="V1:Z1"/>
    <mergeCell ref="AA1:AA2"/>
    <mergeCell ref="AC1:AC2"/>
    <mergeCell ref="S1:U1"/>
    <mergeCell ref="AD1:AG1"/>
    <mergeCell ref="AB1:AB2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Параметры поиска</vt:lpstr>
      <vt:lpstr>Результаты поиска</vt:lpstr>
    </vt:vector>
  </TitlesOfParts>
  <Company>Интерфакс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Малышева</dc:creator>
  <cp:lastModifiedBy>Yuri Revich</cp:lastModifiedBy>
  <cp:lastPrinted>2014-10-08T08:57:22Z</cp:lastPrinted>
  <dcterms:created xsi:type="dcterms:W3CDTF">2014-12-12T15:06:10Z</dcterms:created>
  <dcterms:modified xsi:type="dcterms:W3CDTF">2019-05-06T07:02:14Z</dcterms:modified>
</cp:coreProperties>
</file>